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f7b94a99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cdf180eb7374bbf"/>
    <x:sheet xmlns:r="http://schemas.openxmlformats.org/officeDocument/2006/relationships" name="Assumptions" sheetId="2" r:id="R16ea3bca3068458b"/>
    <x:sheet xmlns:r="http://schemas.openxmlformats.org/officeDocument/2006/relationships" name="Budget" sheetId="3" r:id="R186ef24aaae24d50"/>
    <x:sheet xmlns:r="http://schemas.openxmlformats.org/officeDocument/2006/relationships" name="Forecast" sheetId="4" r:id="Rb34ce8503757459d"/>
    <x:sheet xmlns:r="http://schemas.openxmlformats.org/officeDocument/2006/relationships" name="Variance" sheetId="5" r:id="R273b4bd688c44262"/>
    <x:sheet xmlns:r="http://schemas.openxmlformats.org/officeDocument/2006/relationships" name="Headcount" sheetId="6" r:id="R7387c1b3b8154142"/>
    <x:sheet xmlns:r="http://schemas.openxmlformats.org/officeDocument/2006/relationships" name="Working capital" sheetId="7" r:id="Ra7c8da8c96594b89"/>
    <x:sheet xmlns:r="http://schemas.openxmlformats.org/officeDocument/2006/relationships" name="CapEx" sheetId="8" r:id="R200e66282b054e81"/>
    <x:sheet xmlns:r="http://schemas.openxmlformats.org/officeDocument/2006/relationships" name="Cash flow" sheetId="9" r:id="Rc1e45ebf3fa54efb"/>
    <x:sheet xmlns:r="http://schemas.openxmlformats.org/officeDocument/2006/relationships" name="Scenario" sheetId="10" r:id="Rb2e0d84df4d04aea"/>
    <x:sheet xmlns:r="http://schemas.openxmlformats.org/officeDocument/2006/relationships" name="Actuals" sheetId="11" r:id="Rd31a3cc686784cf5"/>
    <x:sheet xmlns:r="http://schemas.openxmlformats.org/officeDocument/2006/relationships" name="Checks" sheetId="12" r:id="Reee1a89ba67146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mmm-yy"/>
    <x:numFmt numFmtId="201" formatCode="#,##0;(#,##0);&quot;-&quot;"/>
    <x:numFmt numFmtId="202" formatCode="0.00;(0.00);&quot;-&quot;"/>
    <x:numFmt numFmtId="203" formatCode="0.0%;(0.0%);&quot;-&quot;"/>
    <x:numFmt numFmtId="204" formatCode="$#,##0;($#,##0);&quot;-&quot;"/>
    <x:numFmt numFmtId="205" formatCode="0.0"/>
    <x:numFmt numFmtId="206" formatCode="0.0&quot; pp&quot;;(0.0)&quot; pp&quot;;&quot;-&quot;"/>
    <x:numFmt numFmtId="207" formatCode="0.00;(0.00);0.00"/>
  </x:numFmts>
  <x:fonts count="8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b/>
      <x:sz val="10"/>
      <x:color rgb="FF222222"/>
      <x:name val="Arial"/>
    </x:font>
    <x:font>
      <x:sz val="10"/>
      <x:color rgb="FF1D4E89"/>
      <x:name val="Arial"/>
    </x:font>
    <x:font>
      <x:i/>
      <x:sz val="10"/>
      <x:color rgb="FF222222"/>
      <x:name val="Arial"/>
    </x:font>
    <x:font>
      <x:b/>
      <x:sz val="10"/>
      <x:color rgb="FF1D4E89"/>
      <x:name val="Arial"/>
    </x:font>
    <x:font>
      <x:sz val="10"/>
      <x:color rgb="FF66666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7E6E6"/>
      </x:patternFill>
    </x:fill>
    <x:fill>
      <x:patternFill patternType="solid">
        <x:fgColor rgb="FFEEEEEE"/>
      </x:patternFill>
    </x:fill>
    <x:fill>
      <x:patternFill patternType="solid">
        <x:fgColor rgb="FFFFF8DA"/>
      </x:patternFill>
    </x:fill>
    <x:fill>
      <x:patternFill patternType="solid">
        <x:fgColor rgb="FFF2F2F2"/>
      </x:patternFill>
    </x:fill>
  </x:fills>
  <x:borders count="2">
    <x:border/>
    <x:border>
      <x:top style="thin">
        <x:color rgb="FFA0A0A0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3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201" fontId="3" fillId="5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4" fontId="3" fillId="5" borderId="1" xfId="0" applyNumberFormat="1" applyFont="1" applyFill="1" applyBorder="1" applyAlignment="1">
      <x:alignment vertical="center"/>
    </x:xf>
    <x:xf numFmtId="201" fontId="4" fillId="4" borderId="1" xfId="0" applyNumberFormat="1" applyFont="1" applyFill="1" applyBorder="1" applyAlignment="1">
      <x:alignment vertical="center"/>
    </x:xf>
    <x:xf numFmtId="201" fontId="6" fillId="4" borderId="1" xfId="0" applyNumberFormat="1" applyFont="1" applyFill="1" applyBorder="1" applyAlignment="1">
      <x:alignment vertical="center"/>
    </x:xf>
    <x:xf numFmtId="201" fontId="6" fillId="5" borderId="1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203" fontId="3" fillId="0" borderId="1" xfId="0" applyNumberFormat="1" applyFont="1" applyFill="1" applyBorder="1" applyAlignment="1">
      <x:alignment vertical="center"/>
    </x:xf>
    <x:xf numFmtId="203" fontId="3" fillId="5" borderId="1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1a990b23b4ca4" /><Relationship Type="http://schemas.openxmlformats.org/officeDocument/2006/relationships/theme" Target="/xl/theme/theme1.xml" Id="Rf4fb107a7af64265" /><Relationship Type="http://schemas.openxmlformats.org/officeDocument/2006/relationships/sharedStrings" Target="/xl/sharedStrings.xml" Id="R8b96fbc0e6f44923" /><Relationship Type="http://schemas.openxmlformats.org/officeDocument/2006/relationships/worksheet" Target="/xl/worksheets/sheet1.xml" Id="Rfcdf180eb7374bbf" /><Relationship Type="http://schemas.openxmlformats.org/officeDocument/2006/relationships/worksheet" Target="/xl/worksheets/sheet2.xml" Id="R16ea3bca3068458b" /><Relationship Type="http://schemas.openxmlformats.org/officeDocument/2006/relationships/worksheet" Target="/xl/worksheets/sheet3.xml" Id="R186ef24aaae24d50" /><Relationship Type="http://schemas.openxmlformats.org/officeDocument/2006/relationships/worksheet" Target="/xl/worksheets/sheet4.xml" Id="Rb34ce8503757459d" /><Relationship Type="http://schemas.openxmlformats.org/officeDocument/2006/relationships/worksheet" Target="/xl/worksheets/sheet5.xml" Id="R273b4bd688c44262" /><Relationship Type="http://schemas.openxmlformats.org/officeDocument/2006/relationships/worksheet" Target="/xl/worksheets/sheet6.xml" Id="R7387c1b3b8154142" /><Relationship Type="http://schemas.openxmlformats.org/officeDocument/2006/relationships/worksheet" Target="/xl/worksheets/sheet7.xml" Id="Ra7c8da8c96594b89" /><Relationship Type="http://schemas.openxmlformats.org/officeDocument/2006/relationships/worksheet" Target="/xl/worksheets/sheet8.xml" Id="R200e66282b054e81" /><Relationship Type="http://schemas.openxmlformats.org/officeDocument/2006/relationships/worksheet" Target="/xl/worksheets/sheet9.xml" Id="Rc1e45ebf3fa54efb" /><Relationship Type="http://schemas.openxmlformats.org/officeDocument/2006/relationships/worksheet" Target="/xl/worksheets/sheet10.xml" Id="Rb2e0d84df4d04aea" /><Relationship Type="http://schemas.openxmlformats.org/officeDocument/2006/relationships/worksheet" Target="/xl/worksheets/sheet11.xml" Id="Rd31a3cc686784cf5" /><Relationship Type="http://schemas.openxmlformats.org/officeDocument/2006/relationships/worksheet" Target="/xl/worksheets/sheet12.xml" Id="Reee1a89ba671465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ae1a6f1869f4c1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Monthly EBITDA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Budget EBITDA</c:v>
          </c:tx>
          <c:spPr>
            <a:ln xmlns:a="http://schemas.openxmlformats.org/drawingml/2006/main" w="19050">
              <a:solidFill>
                <a:srgbClr val="858585"/>
              </a:solidFill>
              <a:prstDash val="dash"/>
            </a:ln>
          </c:spPr>
          <c:marker>
            <c:symbol val="none"/>
          </c:marker>
          <c:cat>
            <c:strRef>
              <c:f>'Dashboard'!$C$24:$C$35</c:f>
              <c:strCache>
                <c:ptCount val="0"/>
              </c:strCache>
            </c:strRef>
          </c:cat>
          <c:val>
            <c:numRef>
              <c:f>'Dashboard'!$D$24:$D$35</c:f>
              <c:numCache>
                <c:formatCode>#,##0;(#,##0);"-"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Outlook EBITDA</c:v>
          </c:tx>
          <c:spPr>
            <a:ln xmlns:a="http://schemas.openxmlformats.org/drawingml/2006/main" w="19050">
              <a:solidFill>
                <a:srgbClr val="355F83"/>
              </a:solidFill>
              <a:prstDash val="solid"/>
            </a:ln>
          </c:spPr>
          <c:marker>
            <c:symbol val="none"/>
          </c:marker>
          <c:cat>
            <c:strRef>
              <c:f>'Dashboard'!$C$24:$C$35</c:f>
              <c:strCache>
                <c:ptCount val="0"/>
              </c:strCache>
            </c:strRef>
          </c:cat>
          <c:val>
            <c:numRef>
              <c:f>'Dashboard'!$F$24:$F$35</c:f>
              <c:numCache>
                <c:formatCode>#,##0;(#,##0);"-"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22</xdr:row>
      <xdr:rowOff>0</xdr:rowOff>
    </xdr:from>
    <xdr:to>
      <xdr:col>17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e1a6f1869f4c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4ea8f30bd68407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8" customHeight="1">
      <x:c r="C2" s="3" t="str">
        <x:v>Northstar Components — FP&amp;A project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2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2" customHeight="1">
      <x:c r="C5" s="7"/>
      <x:c r="D5" s="9" t="str">
        <x:v>Annual budget</x:v>
      </x:c>
      <x:c r="E5" s="9"/>
      <x:c r="F5" s="10" t="str">
        <x:v>Latest outlook</x:v>
      </x:c>
      <x:c r="G5" s="10" t="str">
        <x:v>Difference</x:v>
      </x:c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2"/>
      <x:c r="S5" s="2" t="str">
        <x:v>Calculation notes</x:v>
      </x:c>
    </x:row>
    <x:row r="6" ht="22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2" customHeight="1">
      <x:c r="C7" s="2" t="str">
        <x:v>Revenue</x:v>
      </x:c>
      <x:c r="D7" s="11" t="n">
        <x:f>'Budget'!D10</x:f>
        <x:v>6897150</x:v>
      </x:c>
      <x:c r="E7" s="11"/>
      <x:c r="F7" s="11" t="n">
        <x:f>'Forecast'!D10</x:f>
        <x:v>7030936.373</x:v>
      </x:c>
      <x:c r="G7" s="11" t="n">
        <x:f>F7-D7</x:f>
        <x:v>133786.37299999967</x:v>
      </x:c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2"/>
      <x:c r="S7" s="43"/>
    </x:row>
    <x:row r="8" ht="22" customHeight="1">
      <x:c r="C8" s="2" t="str">
        <x:v>Gross margin</x:v>
      </x:c>
      <x:c r="D8" s="20" t="n">
        <x:f>'Budget'!D18</x:f>
        <x:v>0.48148148148148145</x:v>
      </x:c>
      <x:c r="E8" s="20"/>
      <x:c r="F8" s="20" t="n">
        <x:f>'Forecast'!D18</x:f>
        <x:v>0.47332069634133783</x:v>
      </x:c>
      <x:c r="G8" s="39" t="n">
        <x:f>(F8-D8)*100</x:f>
        <x:v>-0.8160785140143623</x:v>
      </x:c>
      <x:c r="H8" s="11"/>
      <x:c r="I8" s="11" t="str">
        <x:v>Difference in percentage points</x:v>
      </x:c>
      <x:c r="J8" s="11"/>
      <x:c r="K8" s="11"/>
      <x:c r="L8" s="11"/>
      <x:c r="M8" s="11"/>
      <x:c r="N8" s="11"/>
      <x:c r="O8" s="11"/>
      <x:c r="P8" s="11"/>
      <x:c r="Q8" s="11"/>
      <x:c r="R8" s="2"/>
      <x:c r="S8" s="43"/>
    </x:row>
    <x:row r="9" ht="22" customHeight="1">
      <x:c r="C9" s="28" t="str">
        <x:v>EBITDA</x:v>
      </x:c>
      <x:c r="D9" s="29" t="n">
        <x:f>'Budget'!D27</x:f>
        <x:v>348849.75</x:v>
      </x:c>
      <x:c r="E9" s="29"/>
      <x:c r="F9" s="29" t="n">
        <x:f>'Forecast'!D27</x:f>
        <x:v>226662.9269449999</x:v>
      </x:c>
      <x:c r="G9" s="29" t="n">
        <x:f>F9-D9</x:f>
        <x:v>-122186.8230550001</x:v>
      </x:c>
      <x:c r="H9" s="29"/>
      <x:c r="I9" s="29"/>
      <x:c r="J9" s="29"/>
      <x:c r="K9" s="29"/>
      <x:c r="L9" s="29"/>
      <x:c r="M9" s="29"/>
      <x:c r="N9" s="29"/>
      <x:c r="O9" s="29"/>
      <x:c r="P9" s="29"/>
      <x:c r="Q9" s="29"/>
      <x:c r="R9" s="2"/>
      <x:c r="S9" s="43"/>
    </x:row>
    <x:row r="10" ht="22" customHeight="1">
      <x:c r="C10" s="2" t="str">
        <x:v>EBITDA margin</x:v>
      </x:c>
      <x:c r="D10" s="20" t="n">
        <x:f>'Budget'!D28</x:f>
        <x:v>0.0505788260368413</x:v>
      </x:c>
      <x:c r="E10" s="20"/>
      <x:c r="F10" s="20" t="n">
        <x:f>'Forecast'!D28</x:f>
        <x:v>0.03223794313022436</x:v>
      </x:c>
      <x:c r="G10" s="39" t="n">
        <x:f>(F10-D10)*100</x:f>
        <x:v>-1.8340882906616944</x:v>
      </x:c>
      <x:c r="H10" s="11"/>
      <x:c r="I10" s="11" t="str">
        <x:v>Difference in percentage points</x:v>
      </x:c>
      <x:c r="J10" s="11"/>
      <x:c r="K10" s="11"/>
      <x:c r="L10" s="11"/>
      <x:c r="M10" s="11"/>
      <x:c r="N10" s="11"/>
      <x:c r="O10" s="11"/>
      <x:c r="P10" s="11"/>
      <x:c r="Q10" s="11"/>
      <x:c r="R10" s="2"/>
      <x:c r="S10" s="43"/>
    </x:row>
    <x:row r="11" ht="22" customHeight="1">
      <x:c r="C11" s="2" t="str">
        <x:v>CapEx</x:v>
      </x:c>
      <x:c r="D11" s="11" t="n">
        <x:f>'CapEx'!D8</x:f>
        <x:v>360000</x:v>
      </x:c>
      <x:c r="E11" s="11"/>
      <x:c r="F11" s="11" t="n">
        <x:f>'CapEx'!D9</x:f>
        <x:v>369000</x:v>
      </x:c>
      <x:c r="G11" s="11" t="n">
        <x:f>F11-D11</x:f>
        <x:v>9000</x:v>
      </x:c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2" customHeight="1">
      <x:c r="C12" s="2" t="str">
        <x:v>Increase in NWC</x:v>
      </x:c>
      <x:c r="D12" s="11" t="n">
        <x:f>'Working capital'!D20</x:f>
        <x:v>508386.66666666674</x:v>
      </x:c>
      <x:c r="E12" s="11"/>
      <x:c r="F12" s="11" t="n">
        <x:f>'Working capital'!D37</x:f>
        <x:v>536945.8250000002</x:v>
      </x:c>
      <x:c r="G12" s="11" t="n">
        <x:f>F12-D12</x:f>
        <x:v>28559.158333333442</x:v>
      </x:c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2"/>
      <x:c r="S12" s="43"/>
    </x:row>
    <x:row r="13" ht="22" customHeight="1">
      <x:c r="C13" s="2" t="str">
        <x:v>Free cash before tax / financing</x:v>
      </x:c>
      <x:c r="D13" s="11" t="n">
        <x:f>'Cash flow'!D12</x:f>
        <x:v>-519536.91666666674</x:v>
      </x:c>
      <x:c r="E13" s="11"/>
      <x:c r="F13" s="11" t="n">
        <x:f>'Cash flow'!D26</x:f>
        <x:v>-679282.8980550002</x:v>
      </x:c>
      <x:c r="G13" s="11" t="n">
        <x:f>F13-D13</x:f>
        <x:v>-159745.9813883335</x:v>
      </x:c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2"/>
      <x:c r="S13" s="43"/>
    </x:row>
    <x:row r="14" ht="22" customHeight="1">
      <x:c r="C14" s="28" t="str">
        <x:v>Year-end cash</x:v>
      </x:c>
      <x:c r="D14" s="29" t="n">
        <x:f>'Cash flow'!D15</x:f>
        <x:v>230463.08333333326</x:v>
      </x:c>
      <x:c r="E14" s="29"/>
      <x:c r="F14" s="29" t="n">
        <x:f>'Cash flow'!D29</x:f>
        <x:v>70717.10194499971</x:v>
      </x:c>
      <x:c r="G14" s="29" t="n">
        <x:f>F14-D14</x:f>
        <x:v>-159745.98138833354</x:v>
      </x:c>
      <x:c r="H14" s="29"/>
      <x:c r="I14" s="29"/>
      <x:c r="J14" s="29"/>
      <x:c r="K14" s="29"/>
      <x:c r="L14" s="29"/>
      <x:c r="M14" s="29"/>
      <x:c r="N14" s="29"/>
      <x:c r="O14" s="29"/>
      <x:c r="P14" s="29"/>
      <x:c r="Q14" s="29"/>
      <x:c r="R14" s="2"/>
      <x:c r="S14" s="43"/>
    </x:row>
    <x:row r="15" ht="22" customHeight="1">
      <x:c r="C15" s="2" t="str">
        <x:v>Year-end support FTE</x:v>
      </x:c>
      <x:c r="D15" s="11" t="n">
        <x:f>'Headcount'!D12</x:f>
        <x:v>21</x:v>
      </x:c>
      <x:c r="E15" s="11"/>
      <x:c r="F15" s="11" t="n">
        <x:f>'Headcount'!D27</x:f>
        <x:v>23</x:v>
      </x:c>
      <x:c r="G15" s="11" t="n">
        <x:f>F15-D15</x:f>
        <x:v>2</x:v>
      </x:c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2"/>
      <x:c r="S15" s="43"/>
    </x:row>
    <x:row r="16" ht="22" customHeight="1">
      <x:c r="C16" s="2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2"/>
      <x:c r="S16" s="43"/>
    </x:row>
    <x:row r="17" ht="22" customHeight="1">
      <x:c r="C17" s="2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2"/>
      <x:c r="S17" s="43"/>
    </x:row>
    <x:row r="18" ht="22" customHeight="1">
      <x:c r="C18" s="2" t="str">
        <x:v>Latest outlook = January–June illustrative actuals + July–December forecast.</x:v>
      </x:c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2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2" customHeight="1">
      <x:c r="C20" s="2" t="str">
        <x:v>Start with Assumptions, follow Budget and Forecast, then review Variance, Cash flow and Scenario.</x:v>
      </x:c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2" customHeight="1">
      <x:c r="C21" s="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2"/>
      <x:c r="S21" s="43"/>
    </x:row>
    <x:row r="22" ht="22" customHeight="1">
      <x:c r="C22" s="2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2"/>
      <x:c r="S22" s="43"/>
    </x:row>
    <x:row r="23" ht="22" customHeight="1">
      <x:c r="C23" s="2" t="str">
        <x:v>Month</x:v>
      </x:c>
      <x:c r="D23" s="11" t="str">
        <x:v>Budget EBITDA</x:v>
      </x:c>
      <x:c r="E23" s="11"/>
      <x:c r="F23" s="11" t="str">
        <x:v>Outlook EBITDA</x:v>
      </x:c>
      <x:c r="G23" s="11" t="str">
        <x:v>Ending cash</x:v>
      </x:c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2"/>
      <x:c r="S23" s="43"/>
    </x:row>
    <x:row r="24" ht="22" customHeight="1">
      <x:c r="C24" s="2" t="str">
        <x:v>Jan</x:v>
      </x:c>
      <x:c r="D24" s="11" t="n">
        <x:f>'Budget'!F27</x:f>
        <x:v>27141.25</x:v>
      </x:c>
      <x:c r="E24" s="11"/>
      <x:c r="F24" s="11" t="n">
        <x:f>'Forecast'!F27</x:f>
        <x:v>36021</x:v>
      </x:c>
      <x:c r="G24" s="11" t="n">
        <x:f>'Cash flow'!F29</x:f>
        <x:v>307191</x:v>
      </x:c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2"/>
      <x:c r="S24" s="43"/>
    </x:row>
    <x:row r="25" ht="22" customHeight="1">
      <x:c r="C25" s="2" t="str">
        <x:v>Feb</x:v>
      </x:c>
      <x:c r="D25" s="11" t="n">
        <x:f>'Budget'!G27</x:f>
        <x:v>42089.45</x:v>
      </x:c>
      <x:c r="E25" s="11"/>
      <x:c r="F25" s="11" t="n">
        <x:f>'Forecast'!G27</x:f>
        <x:v>25453.25</x:v>
      </x:c>
      <x:c r="G25" s="11" t="n">
        <x:f>'Cash flow'!G29</x:f>
        <x:v>297449.58333333326</x:v>
      </x:c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2"/>
      <x:c r="S25" s="43"/>
    </x:row>
    <x:row r="26" ht="22" customHeight="1">
      <x:c r="C26" s="2" t="str">
        <x:v>Mar</x:v>
      </x:c>
      <x:c r="D26" s="11" t="n">
        <x:f>'Budget'!H27</x:f>
        <x:v>45845.75</x:v>
      </x:c>
      <x:c r="E26" s="11"/>
      <x:c r="F26" s="11" t="n">
        <x:f>'Forecast'!H27</x:f>
        <x:v>36598.875</x:v>
      </x:c>
      <x:c r="G26" s="11" t="n">
        <x:f>'Cash flow'!H29</x:f>
        <x:v>235588.125</x:v>
      </x:c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2" customHeight="1">
      <x:c r="C27" s="2" t="str">
        <x:v>Apr</x:v>
      </x:c>
      <x:c r="D27" s="11" t="n">
        <x:f>'Budget'!I27</x:f>
        <x:v>41525.2</x:v>
      </x:c>
      <x:c r="E27" s="11"/>
      <x:c r="F27" s="11" t="n">
        <x:f>'Forecast'!I27</x:f>
        <x:v>19010.28</x:v>
      </x:c>
      <x:c r="G27" s="11" t="n">
        <x:f>'Cash flow'!I29</x:f>
        <x:v>275593.80500000005</x:v>
      </x:c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2" customHeight="1">
      <x:c r="C28" s="2" t="str">
        <x:v>May</x:v>
      </x:c>
      <x:c r="D28" s="11" t="n">
        <x:f>'Budget'!J27</x:f>
        <x:v>34412.75</x:v>
      </x:c>
      <x:c r="E28" s="11"/>
      <x:c r="F28" s="11" t="n">
        <x:f>'Forecast'!J27</x:f>
        <x:v>27640.660000000003</x:v>
      </x:c>
      <x:c r="G28" s="11" t="n">
        <x:f>'Cash flow'!J29</x:f>
        <x:v>227024.33166666664</x:v>
      </x:c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2" customHeight="1">
      <x:c r="C29" s="2" t="str">
        <x:v>Jun</x:v>
      </x:c>
      <x:c r="D29" s="11" t="n">
        <x:f>'Budget'!K27</x:f>
        <x:v>27461.875</x:v>
      </x:c>
      <x:c r="E29" s="11"/>
      <x:c r="F29" s="11" t="n">
        <x:f>'Forecast'!K27</x:f>
        <x:v>9207.515</x:v>
      </x:c>
      <x:c r="G29" s="11" t="n">
        <x:f>'Cash flow'!K29</x:f>
        <x:v>272793.4466666667</x:v>
      </x:c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2" customHeight="1">
      <x:c r="C30" s="2" t="str">
        <x:v>Jul</x:v>
      </x:c>
      <x:c r="D30" s="11" t="n">
        <x:f>'Budget'!L27</x:f>
        <x:v>20511</x:v>
      </x:c>
      <x:c r="E30" s="11"/>
      <x:c r="F30" s="11" t="n">
        <x:f>'Forecast'!L27</x:f>
        <x:v>15686.51219999994</x:v>
      </x:c>
      <x:c r="G30" s="11" t="n">
        <x:f>'Cash flow'!L29</x:f>
        <x:v>279163.8922</x:v>
      </x:c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2" customHeight="1">
      <x:c r="C31" s="2" t="str">
        <x:v>Aug</x:v>
      </x:c>
      <x:c r="D31" s="11" t="n">
        <x:f>'Budget'!M27</x:f>
        <x:v>13398.550000000003</x:v>
      </x:c>
      <x:c r="E31" s="11"/>
      <x:c r="F31" s="11" t="n">
        <x:f>'Forecast'!M27</x:f>
        <x:v>4237.500209999969</x:v>
      </x:c>
      <x:c r="G31" s="11" t="n">
        <x:f>'Cash flow'!M29</x:f>
        <x:v>277102.28241</x:v>
      </x:c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2" customHeight="1">
      <x:c r="C32" s="2" t="str">
        <x:v>Sep</x:v>
      </x:c>
      <x:c r="D32" s="11" t="n">
        <x:f>'Budget'!N27</x:f>
        <x:v>9078</x:v>
      </x:c>
      <x:c r="E32" s="11"/>
      <x:c r="F32" s="11" t="n">
        <x:f>'Forecast'!N27</x:f>
        <x:v>-85.36440000000584</x:v>
      </x:c>
      <x:c r="G32" s="11" t="n">
        <x:f>'Cash flow'!N29</x:f>
        <x:v>247418.6280099998</x:v>
      </x:c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2" customHeight="1">
      <x:c r="C33" s="2" t="str">
        <x:v>Oct</x:v>
      </x:c>
      <x:c r="D33" s="11" t="n">
        <x:f>'Budget'!O27</x:f>
        <x:v>12834.300000000003</x:v>
      </x:c>
      <x:c r="E33" s="11"/>
      <x:c r="F33" s="11" t="n">
        <x:f>'Forecast'!O27</x:f>
        <x:v>3823.699859999979</x:v>
      </x:c>
      <x:c r="G33" s="11" t="n">
        <x:f>'Cash flow'!O29</x:f>
        <x:v>194729.46786999993</x:v>
      </x:c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2" customHeight="1">
      <x:c r="C34" s="2" t="str">
        <x:v>Nov</x:v>
      </x:c>
      <x:c r="D34" s="11" t="n">
        <x:f>'Budget'!P27</x:f>
        <x:v>27782.5</x:v>
      </x:c>
      <x:c r="E34" s="11"/>
      <x:c r="F34" s="11" t="n">
        <x:f>'Forecast'!P27</x:f>
        <x:v>14858.911500000002</x:v>
      </x:c>
      <x:c r="G34" s="11" t="n">
        <x:f>'Cash flow'!P29</x:f>
        <x:v>129776.33937000002</x:v>
      </x:c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2" customHeight="1">
      <x:c r="C35" s="2" t="str">
        <x:v>Dec</x:v>
      </x:c>
      <x:c r="D35" s="11" t="n">
        <x:f>'Budget'!Q27</x:f>
        <x:v>46769.125</x:v>
      </x:c>
      <x:c r="E35" s="11"/>
      <x:c r="F35" s="11" t="n">
        <x:f>'Forecast'!Q27</x:f>
        <x:v>34210.087575</x:v>
      </x:c>
      <x:c r="G35" s="11" t="n">
        <x:f>'Cash flow'!Q29</x:f>
        <x:v>70717.10194499971</x:v>
      </x:c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2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2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2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2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2" customHeight="1">
      <x:c r="C40" s="2" t="str">
        <x:v>Questions to investigate: Can pricing offset material inflation? Is support hiring justified by volume? Can receivables be collected sooner?</x:v>
      </x:c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2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2" customHeight="1">
      <x:c r="C42" s="2" t="str">
        <x:v>The scenario sheet quantifies the profit impact. Cash flow shows whether profit is sufficient to fund equipment and working capital.</x:v>
      </x:c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2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2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2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  <x:drawing xmlns:r="http://schemas.openxmlformats.org/officeDocument/2006/relationships" r:id="Rf4ea8f30bd68407f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Assumptions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14" t="str">
        <x:v>Budget operating drivers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Budget units</x:v>
      </x:c>
      <x:c r="D8" s="11" t="n">
        <x:f>SUM(F8:Q8)</x:f>
        <x:v>51090</x:v>
      </x:c>
      <x:c r="E8" s="11"/>
      <x:c r="F8" s="17" t="n">
        <x:v>4150</x:v>
      </x:c>
      <x:c r="G8" s="17" t="n">
        <x:v>4398</x:v>
      </x:c>
      <x:c r="H8" s="17" t="n">
        <x:v>4530</x:v>
      </x:c>
      <x:c r="I8" s="17" t="n">
        <x:v>4528</x:v>
      </x:c>
      <x:c r="J8" s="17" t="n">
        <x:v>4410</x:v>
      </x:c>
      <x:c r="K8" s="17" t="n">
        <x:v>4225</x:v>
      </x:c>
      <x:c r="L8" s="17" t="n">
        <x:v>4040</x:v>
      </x:c>
      <x:c r="M8" s="17" t="n">
        <x:v>3922</x:v>
      </x:c>
      <x:c r="N8" s="17" t="n">
        <x:v>3920</x:v>
      </x:c>
      <x:c r="O8" s="17" t="n">
        <x:v>4052</x:v>
      </x:c>
      <x:c r="P8" s="17" t="n">
        <x:v>4300</x:v>
      </x:c>
      <x:c r="Q8" s="17" t="n">
        <x:v>4615</x:v>
      </x:c>
      <x:c r="R8" s="2"/>
      <x:c r="S8" s="43" t="str">
        <x:v>Monthly sales pattern from the original case.</x:v>
      </x:c>
    </x:row>
    <x:row r="9" ht="27" customHeight="1">
      <x:c r="C9" s="2" t="str">
        <x:v>Selling price per unit</x:v>
      </x:c>
      <x:c r="D9" s="21" t="n">
        <x:f>AVERAGE(F9:Q9)</x:f>
        <x:v>135</x:v>
      </x:c>
      <x:c r="E9" s="21"/>
      <x:c r="F9" s="18" t="n">
        <x:v>135</x:v>
      </x:c>
      <x:c r="G9" s="18" t="n">
        <x:v>135</x:v>
      </x:c>
      <x:c r="H9" s="18" t="n">
        <x:v>135</x:v>
      </x:c>
      <x:c r="I9" s="18" t="n">
        <x:v>135</x:v>
      </x:c>
      <x:c r="J9" s="18" t="n">
        <x:v>135</x:v>
      </x:c>
      <x:c r="K9" s="18" t="n">
        <x:v>135</x:v>
      </x:c>
      <x:c r="L9" s="18" t="n">
        <x:v>135</x:v>
      </x:c>
      <x:c r="M9" s="18" t="n">
        <x:v>135</x:v>
      </x:c>
      <x:c r="N9" s="18" t="n">
        <x:v>135</x:v>
      </x:c>
      <x:c r="O9" s="18" t="n">
        <x:v>135</x:v>
      </x:c>
      <x:c r="P9" s="18" t="n">
        <x:v>135</x:v>
      </x:c>
      <x:c r="Q9" s="18" t="n">
        <x:v>135</x:v>
      </x:c>
      <x:c r="R9" s="2"/>
      <x:c r="S9" s="43"/>
    </x:row>
    <x:row r="10" ht="27" customHeight="1">
      <x:c r="C10" s="2" t="str">
        <x:v>Raw material per unit</x:v>
      </x:c>
      <x:c r="D10" s="21" t="n">
        <x:f>AVERAGE(F10:Q10)</x:f>
        <x:v>45</x:v>
      </x:c>
      <x:c r="E10" s="21"/>
      <x:c r="F10" s="18" t="n">
        <x:v>45</x:v>
      </x:c>
      <x:c r="G10" s="18" t="n">
        <x:v>45</x:v>
      </x:c>
      <x:c r="H10" s="18" t="n">
        <x:v>45</x:v>
      </x:c>
      <x:c r="I10" s="18" t="n">
        <x:v>45</x:v>
      </x:c>
      <x:c r="J10" s="18" t="n">
        <x:v>45</x:v>
      </x:c>
      <x:c r="K10" s="18" t="n">
        <x:v>45</x:v>
      </x:c>
      <x:c r="L10" s="18" t="n">
        <x:v>45</x:v>
      </x:c>
      <x:c r="M10" s="18" t="n">
        <x:v>45</x:v>
      </x:c>
      <x:c r="N10" s="18" t="n">
        <x:v>45</x:v>
      </x:c>
      <x:c r="O10" s="18" t="n">
        <x:v>45</x:v>
      </x:c>
      <x:c r="P10" s="18" t="n">
        <x:v>45</x:v>
      </x:c>
      <x:c r="Q10" s="18" t="n">
        <x:v>45</x:v>
      </x:c>
      <x:c r="R10" s="2"/>
      <x:c r="S10" s="43"/>
    </x:row>
    <x:row r="11" ht="27" customHeight="1">
      <x:c r="C11" s="2" t="str">
        <x:v>Conversion cost per unit</x:v>
      </x:c>
      <x:c r="D11" s="21" t="n">
        <x:f>AVERAGE(F11:Q11)</x:f>
        <x:v>25</x:v>
      </x:c>
      <x:c r="E11" s="21"/>
      <x:c r="F11" s="18" t="n">
        <x:v>25</x:v>
      </x:c>
      <x:c r="G11" s="18" t="n">
        <x:v>25</x:v>
      </x:c>
      <x:c r="H11" s="18" t="n">
        <x:v>25</x:v>
      </x:c>
      <x:c r="I11" s="18" t="n">
        <x:v>25</x:v>
      </x:c>
      <x:c r="J11" s="18" t="n">
        <x:v>25</x:v>
      </x:c>
      <x:c r="K11" s="18" t="n">
        <x:v>25</x:v>
      </x:c>
      <x:c r="L11" s="18" t="n">
        <x:v>25</x:v>
      </x:c>
      <x:c r="M11" s="18" t="n">
        <x:v>25</x:v>
      </x:c>
      <x:c r="N11" s="18" t="n">
        <x:v>25</x:v>
      </x:c>
      <x:c r="O11" s="18" t="n">
        <x:v>25</x:v>
      </x:c>
      <x:c r="P11" s="18" t="n">
        <x:v>25</x:v>
      </x:c>
      <x:c r="Q11" s="18" t="n">
        <x:v>25</x:v>
      </x:c>
      <x:c r="R11" s="2"/>
      <x:c r="S11" s="43"/>
    </x:row>
    <x:row r="12" ht="27" customHeight="1">
      <x:c r="C12" s="2" t="str">
        <x:v>Fixed SG&amp;A per month</x:v>
      </x:c>
      <x:c r="D12" s="11" t="n">
        <x:f>AVERAGE(F12:Q12)</x:f>
        <x:v>55000</x:v>
      </x:c>
      <x:c r="E12" s="11"/>
      <x:c r="F12" s="17" t="n">
        <x:v>55000</x:v>
      </x:c>
      <x:c r="G12" s="17" t="n">
        <x:v>55000</x:v>
      </x:c>
      <x:c r="H12" s="17" t="n">
        <x:v>55000</x:v>
      </x:c>
      <x:c r="I12" s="17" t="n">
        <x:v>55000</x:v>
      </x:c>
      <x:c r="J12" s="17" t="n">
        <x:v>55000</x:v>
      </x:c>
      <x:c r="K12" s="17" t="n">
        <x:v>55000</x:v>
      </x:c>
      <x:c r="L12" s="17" t="n">
        <x:v>55000</x:v>
      </x:c>
      <x:c r="M12" s="17" t="n">
        <x:v>55000</x:v>
      </x:c>
      <x:c r="N12" s="17" t="n">
        <x:v>55000</x:v>
      </x:c>
      <x:c r="O12" s="17" t="n">
        <x:v>55000</x:v>
      </x:c>
      <x:c r="P12" s="17" t="n">
        <x:v>55000</x:v>
      </x:c>
      <x:c r="Q12" s="17" t="n">
        <x:v>55000</x:v>
      </x:c>
      <x:c r="R12" s="2"/>
      <x:c r="S12" s="43"/>
    </x:row>
    <x:row r="13" ht="27" customHeight="1">
      <x:c r="C13" s="2" t="str">
        <x:v>Variable SG&amp;A / revenue</x:v>
      </x:c>
      <x:c r="D13" s="20" t="n">
        <x:f>AVERAGE(F13:Q13)</x:f>
        <x:v>0.03500000000000001</x:v>
      </x:c>
      <x:c r="E13" s="20"/>
      <x:c r="F13" s="19" t="n">
        <x:v>0.035</x:v>
      </x:c>
      <x:c r="G13" s="19" t="n">
        <x:v>0.035</x:v>
      </x:c>
      <x:c r="H13" s="19" t="n">
        <x:v>0.035</x:v>
      </x:c>
      <x:c r="I13" s="19" t="n">
        <x:v>0.035</x:v>
      </x:c>
      <x:c r="J13" s="19" t="n">
        <x:v>0.035</x:v>
      </x:c>
      <x:c r="K13" s="19" t="n">
        <x:v>0.035</x:v>
      </x:c>
      <x:c r="L13" s="19" t="n">
        <x:v>0.035</x:v>
      </x:c>
      <x:c r="M13" s="19" t="n">
        <x:v>0.035</x:v>
      </x:c>
      <x:c r="N13" s="19" t="n">
        <x:v>0.035</x:v>
      </x:c>
      <x:c r="O13" s="19" t="n">
        <x:v>0.035</x:v>
      </x:c>
      <x:c r="P13" s="19" t="n">
        <x:v>0.035</x:v>
      </x:c>
      <x:c r="Q13" s="19" t="n">
        <x:v>0.035</x:v>
      </x:c>
      <x:c r="R13" s="2"/>
      <x:c r="S13" s="43"/>
    </x:row>
    <x:row r="14" ht="27" customHeight="1">
      <x:c r="C14" s="2" t="str">
        <x:v>Annual salary per support FTE</x:v>
      </x:c>
      <x:c r="D14" s="11" t="n">
        <x:f>AVERAGE(F14:Q14)</x:f>
        <x:v>84000</x:v>
      </x:c>
      <x:c r="E14" s="11"/>
      <x:c r="F14" s="17" t="n">
        <x:v>84000</x:v>
      </x:c>
      <x:c r="G14" s="17" t="n">
        <x:v>84000</x:v>
      </x:c>
      <x:c r="H14" s="17" t="n">
        <x:v>84000</x:v>
      </x:c>
      <x:c r="I14" s="17" t="n">
        <x:v>84000</x:v>
      </x:c>
      <x:c r="J14" s="17" t="n">
        <x:v>84000</x:v>
      </x:c>
      <x:c r="K14" s="17" t="n">
        <x:v>84000</x:v>
      </x:c>
      <x:c r="L14" s="17" t="n">
        <x:v>84000</x:v>
      </x:c>
      <x:c r="M14" s="17" t="n">
        <x:v>84000</x:v>
      </x:c>
      <x:c r="N14" s="17" t="n">
        <x:v>84000</x:v>
      </x:c>
      <x:c r="O14" s="17" t="n">
        <x:v>84000</x:v>
      </x:c>
      <x:c r="P14" s="17" t="n">
        <x:v>84000</x:v>
      </x:c>
      <x:c r="Q14" s="17" t="n">
        <x:v>84000</x:v>
      </x:c>
      <x:c r="R14" s="2"/>
      <x:c r="S14" s="43" t="str">
        <x:v>Support staff only; excludes production labor already in conversion cost.</x:v>
      </x:c>
    </x:row>
    <x:row r="15" ht="27" customHeight="1">
      <x:c r="C15" s="2" t="str">
        <x:v>Employer payroll burden</x:v>
      </x:c>
      <x:c r="D15" s="20" t="n">
        <x:f>AVERAGE(F15:Q15)</x:f>
        <x:v>0.19999999999999998</x:v>
      </x:c>
      <x:c r="E15" s="20"/>
      <x:c r="F15" s="19" t="n">
        <x:v>0.2</x:v>
      </x:c>
      <x:c r="G15" s="19" t="n">
        <x:v>0.2</x:v>
      </x:c>
      <x:c r="H15" s="19" t="n">
        <x:v>0.2</x:v>
      </x:c>
      <x:c r="I15" s="19" t="n">
        <x:v>0.2</x:v>
      </x:c>
      <x:c r="J15" s="19" t="n">
        <x:v>0.2</x:v>
      </x:c>
      <x:c r="K15" s="19" t="n">
        <x:v>0.2</x:v>
      </x:c>
      <x:c r="L15" s="19" t="n">
        <x:v>0.2</x:v>
      </x:c>
      <x:c r="M15" s="19" t="n">
        <x:v>0.2</x:v>
      </x:c>
      <x:c r="N15" s="19" t="n">
        <x:v>0.2</x:v>
      </x:c>
      <x:c r="O15" s="19" t="n">
        <x:v>0.2</x:v>
      </x:c>
      <x:c r="P15" s="19" t="n">
        <x:v>0.2</x:v>
      </x:c>
      <x:c r="Q15" s="19" t="n">
        <x:v>0.2</x:v>
      </x:c>
      <x:c r="R15" s="2"/>
      <x:c r="S15" s="43"/>
    </x:row>
    <x:row r="16" ht="27" customHeight="1">
      <x:c r="C16" s="2" t="str">
        <x:v>Accounts receivable days</x:v>
      </x:c>
      <x:c r="D16" s="11" t="n">
        <x:f>AVERAGE(F16:Q16)</x:f>
        <x:v>36</x:v>
      </x:c>
      <x:c r="E16" s="11"/>
      <x:c r="F16" s="17" t="n">
        <x:v>36</x:v>
      </x:c>
      <x:c r="G16" s="17" t="n">
        <x:v>36</x:v>
      </x:c>
      <x:c r="H16" s="17" t="n">
        <x:v>36</x:v>
      </x:c>
      <x:c r="I16" s="17" t="n">
        <x:v>36</x:v>
      </x:c>
      <x:c r="J16" s="17" t="n">
        <x:v>36</x:v>
      </x:c>
      <x:c r="K16" s="17" t="n">
        <x:v>36</x:v>
      </x:c>
      <x:c r="L16" s="17" t="n">
        <x:v>36</x:v>
      </x:c>
      <x:c r="M16" s="17" t="n">
        <x:v>36</x:v>
      </x:c>
      <x:c r="N16" s="17" t="n">
        <x:v>36</x:v>
      </x:c>
      <x:c r="O16" s="17" t="n">
        <x:v>36</x:v>
      </x:c>
      <x:c r="P16" s="17" t="n">
        <x:v>36</x:v>
      </x:c>
      <x:c r="Q16" s="17" t="n">
        <x:v>36</x:v>
      </x:c>
      <x:c r="R16" s="2"/>
      <x:c r="S16" s="43"/>
    </x:row>
    <x:row r="17" ht="27" customHeight="1">
      <x:c r="C17" s="2" t="str">
        <x:v>Inventory days</x:v>
      </x:c>
      <x:c r="D17" s="11" t="n">
        <x:f>AVERAGE(F17:Q17)</x:f>
        <x:v>42</x:v>
      </x:c>
      <x:c r="E17" s="11"/>
      <x:c r="F17" s="17" t="n">
        <x:v>42</x:v>
      </x:c>
      <x:c r="G17" s="17" t="n">
        <x:v>42</x:v>
      </x:c>
      <x:c r="H17" s="17" t="n">
        <x:v>42</x:v>
      </x:c>
      <x:c r="I17" s="17" t="n">
        <x:v>42</x:v>
      </x:c>
      <x:c r="J17" s="17" t="n">
        <x:v>42</x:v>
      </x:c>
      <x:c r="K17" s="17" t="n">
        <x:v>42</x:v>
      </x:c>
      <x:c r="L17" s="17" t="n">
        <x:v>42</x:v>
      </x:c>
      <x:c r="M17" s="17" t="n">
        <x:v>42</x:v>
      </x:c>
      <x:c r="N17" s="17" t="n">
        <x:v>42</x:v>
      </x:c>
      <x:c r="O17" s="17" t="n">
        <x:v>42</x:v>
      </x:c>
      <x:c r="P17" s="17" t="n">
        <x:v>42</x:v>
      </x:c>
      <x:c r="Q17" s="17" t="n">
        <x:v>42</x:v>
      </x:c>
      <x:c r="R17" s="2"/>
      <x:c r="S17" s="43"/>
    </x:row>
    <x:row r="18" ht="27" customHeight="1">
      <x:c r="C18" s="2" t="str">
        <x:v>Accounts payable days</x:v>
      </x:c>
      <x:c r="D18" s="11" t="n">
        <x:f>AVERAGE(F18:Q18)</x:f>
        <x:v>28</x:v>
      </x:c>
      <x:c r="E18" s="11"/>
      <x:c r="F18" s="17" t="n">
        <x:v>28</x:v>
      </x:c>
      <x:c r="G18" s="17" t="n">
        <x:v>28</x:v>
      </x:c>
      <x:c r="H18" s="17" t="n">
        <x:v>28</x:v>
      </x:c>
      <x:c r="I18" s="17" t="n">
        <x:v>28</x:v>
      </x:c>
      <x:c r="J18" s="17" t="n">
        <x:v>28</x:v>
      </x:c>
      <x:c r="K18" s="17" t="n">
        <x:v>28</x:v>
      </x:c>
      <x:c r="L18" s="17" t="n">
        <x:v>28</x:v>
      </x:c>
      <x:c r="M18" s="17" t="n">
        <x:v>28</x:v>
      </x:c>
      <x:c r="N18" s="17" t="n">
        <x:v>28</x:v>
      </x:c>
      <x:c r="O18" s="17" t="n">
        <x:v>28</x:v>
      </x:c>
      <x:c r="P18" s="17" t="n">
        <x:v>28</x:v>
      </x:c>
      <x:c r="Q18" s="17" t="n">
        <x:v>28</x:v>
      </x:c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14" t="str">
        <x:v>Forecast assumptions (July–December)</x:v>
      </x:c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2"/>
      <x:c r="S21" s="43"/>
    </x:row>
    <x:row r="22" ht="27" customHeight="1">
      <x:c r="C22" s="2" t="str">
        <x:v>Volume change vs budget</x:v>
      </x:c>
      <x:c r="D22" s="11"/>
      <x:c r="E22" s="11"/>
      <x:c r="F22" s="11"/>
      <x:c r="G22" s="11"/>
      <x:c r="H22" s="11"/>
      <x:c r="I22" s="11"/>
      <x:c r="J22" s="11"/>
      <x:c r="K22" s="11"/>
      <x:c r="L22" s="19" t="n">
        <x:v>0.02</x:v>
      </x:c>
      <x:c r="M22" s="19" t="n">
        <x:v>0.02</x:v>
      </x:c>
      <x:c r="N22" s="19" t="n">
        <x:v>0.02</x:v>
      </x:c>
      <x:c r="O22" s="19" t="n">
        <x:v>0.02</x:v>
      </x:c>
      <x:c r="P22" s="19" t="n">
        <x:v>0.02</x:v>
      </x:c>
      <x:c r="Q22" s="19" t="n">
        <x:v>0.02</x:v>
      </x:c>
      <x:c r="R22" s="2"/>
      <x:c r="S22" s="43" t="str">
        <x:v>Only July–December forecast periods use these changes.</x:v>
      </x:c>
    </x:row>
    <x:row r="23" ht="27" customHeight="1">
      <x:c r="C23" s="2" t="str">
        <x:v>Price change vs budget</x:v>
      </x:c>
      <x:c r="D23" s="11"/>
      <x:c r="E23" s="11"/>
      <x:c r="F23" s="11"/>
      <x:c r="G23" s="11"/>
      <x:c r="H23" s="11"/>
      <x:c r="I23" s="11"/>
      <x:c r="J23" s="11"/>
      <x:c r="K23" s="11"/>
      <x:c r="L23" s="19" t="n">
        <x:v>0.01</x:v>
      </x:c>
      <x:c r="M23" s="19" t="n">
        <x:v>0.01</x:v>
      </x:c>
      <x:c r="N23" s="19" t="n">
        <x:v>0.01</x:v>
      </x:c>
      <x:c r="O23" s="19" t="n">
        <x:v>0.01</x:v>
      </x:c>
      <x:c r="P23" s="19" t="n">
        <x:v>0.01</x:v>
      </x:c>
      <x:c r="Q23" s="19" t="n">
        <x:v>0.01</x:v>
      </x:c>
      <x:c r="R23" s="2"/>
      <x:c r="S23" s="43"/>
    </x:row>
    <x:row r="24" ht="27" customHeight="1">
      <x:c r="C24" s="2" t="str">
        <x:v>Raw-material cost change vs budget</x:v>
      </x:c>
      <x:c r="D24" s="11"/>
      <x:c r="E24" s="11"/>
      <x:c r="F24" s="11"/>
      <x:c r="G24" s="11"/>
      <x:c r="H24" s="11"/>
      <x:c r="I24" s="11"/>
      <x:c r="J24" s="11"/>
      <x:c r="K24" s="11"/>
      <x:c r="L24" s="19" t="n">
        <x:v>0.03</x:v>
      </x:c>
      <x:c r="M24" s="19" t="n">
        <x:v>0.03</x:v>
      </x:c>
      <x:c r="N24" s="19" t="n">
        <x:v>0.03</x:v>
      </x:c>
      <x:c r="O24" s="19" t="n">
        <x:v>0.03</x:v>
      </x:c>
      <x:c r="P24" s="19" t="n">
        <x:v>0.03</x:v>
      </x:c>
      <x:c r="Q24" s="19" t="n">
        <x:v>0.03</x:v>
      </x:c>
      <x:c r="R24" s="2"/>
      <x:c r="S24" s="43"/>
    </x:row>
    <x:row r="25" ht="27" customHeight="1">
      <x:c r="C25" s="2" t="str">
        <x:v>Fixed SG&amp;A change vs budget</x:v>
      </x:c>
      <x:c r="D25" s="11"/>
      <x:c r="E25" s="11"/>
      <x:c r="F25" s="11"/>
      <x:c r="G25" s="11"/>
      <x:c r="H25" s="11"/>
      <x:c r="I25" s="11"/>
      <x:c r="J25" s="11"/>
      <x:c r="K25" s="11"/>
      <x:c r="L25" s="19" t="n">
        <x:v>0.02</x:v>
      </x:c>
      <x:c r="M25" s="19" t="n">
        <x:v>0.02</x:v>
      </x:c>
      <x:c r="N25" s="19" t="n">
        <x:v>0.02</x:v>
      </x:c>
      <x:c r="O25" s="19" t="n">
        <x:v>0.02</x:v>
      </x:c>
      <x:c r="P25" s="19" t="n">
        <x:v>0.02</x:v>
      </x:c>
      <x:c r="Q25" s="19" t="n">
        <x:v>0.02</x:v>
      </x:c>
      <x:c r="R25" s="2"/>
      <x:c r="S25" s="43"/>
    </x:row>
    <x:row r="26" ht="27" customHeight="1">
      <x:c r="C26" s="2" t="str">
        <x:v>Salary change vs budget</x:v>
      </x:c>
      <x:c r="D26" s="11"/>
      <x:c r="E26" s="11"/>
      <x:c r="F26" s="11"/>
      <x:c r="G26" s="11"/>
      <x:c r="H26" s="11"/>
      <x:c r="I26" s="11"/>
      <x:c r="J26" s="11"/>
      <x:c r="K26" s="11"/>
      <x:c r="L26" s="19" t="n">
        <x:v>0</x:v>
      </x:c>
      <x:c r="M26" s="19" t="n">
        <x:v>0</x:v>
      </x:c>
      <x:c r="N26" s="19" t="n">
        <x:v>0</x:v>
      </x:c>
      <x:c r="O26" s="19" t="n">
        <x:v>0</x:v>
      </x:c>
      <x:c r="P26" s="19" t="n">
        <x:v>0</x:v>
      </x:c>
      <x:c r="Q26" s="19" t="n">
        <x:v>0</x:v>
      </x:c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7" customHeight="1">
      <x:c r="C29" s="14" t="str">
        <x:v>Opening balances and model conventions</x:v>
      </x:c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2"/>
      <x:c r="S29" s="43"/>
    </x:row>
    <x:row r="30" ht="27" customHeight="1">
      <x:c r="C30" s="2" t="str">
        <x:v>Opening cash</x:v>
      </x:c>
      <x:c r="D30" s="22" t="n">
        <x:v>750000</x:v>
      </x:c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 t="str">
        <x:v>December 2026 opening balances; retained for consistency.</x:v>
      </x:c>
    </x:row>
    <x:row r="31" ht="27" customHeight="1">
      <x:c r="C31" s="2" t="str">
        <x:v>Opening accounts receivable</x:v>
      </x:c>
      <x:c r="D31" s="22" t="n">
        <x:v>330000</x:v>
      </x:c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 t="str">
        <x:v>Opening inventory</x:v>
      </x:c>
      <x:c r="D32" s="22" t="n">
        <x:v>210000</x:v>
      </x:c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 t="str">
        <x:v>Opening accounts payable</x:v>
      </x:c>
      <x:c r="D33" s="22" t="n">
        <x:v>150000</x:v>
      </x:c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 t="str">
        <x:v>Days per planning month</x:v>
      </x:c>
      <x:c r="D34" s="17" t="n">
        <x:v>30</x:v>
      </x:c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 t="str">
        <x:v>Months per year</x:v>
      </x:c>
      <x:c r="D35" s="17" t="n">
        <x:v>12</x:v>
      </x:c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 t="str">
        <x:v>Inputs are shaded pale yellow with blue text. Formulas are dark text. Amounts are in whole USD unless labeled otherwise.</x:v>
      </x:c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 t="str">
        <x:v>Source: all company figures are fictional. Budget inputs and January–June observations are retained from the original case.</x:v>
      </x:c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 t="str">
        <x:v>Conversion cost includes direct production labor and variable factory costs. The separate payroll model covers support staff.</x:v>
      </x:c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 t="str">
        <x:v>Simplifications: one product group, 30-day months, no tax, interest, debt, depreciation, or financing. Cash flow is before tax and financing.</x:v>
      </x:c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 t="str">
        <x:v>Working capital uses sales and COGS run rates. Inventory and payables are planning estimates, not a detailed purchasing ledger.</x:v>
      </x:c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Budget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 t="str">
        <x:v>Budget</x:v>
      </x:c>
      <x:c r="G6" s="2" t="str">
        <x:v>Budget</x:v>
      </x:c>
      <x:c r="H6" s="2" t="str">
        <x:v>Budget</x:v>
      </x:c>
      <x:c r="I6" s="2" t="str">
        <x:v>Budget</x:v>
      </x:c>
      <x:c r="J6" s="2" t="str">
        <x:v>Budget</x:v>
      </x:c>
      <x:c r="K6" s="2" t="str">
        <x:v>Budget</x:v>
      </x:c>
      <x:c r="L6" s="2" t="str">
        <x:v>Budget</x:v>
      </x:c>
      <x:c r="M6" s="2" t="str">
        <x:v>Budget</x:v>
      </x:c>
      <x:c r="N6" s="2" t="str">
        <x:v>Budget</x:v>
      </x:c>
      <x:c r="O6" s="2" t="str">
        <x:v>Budget</x:v>
      </x:c>
      <x:c r="P6" s="2" t="str">
        <x:v>Budget</x:v>
      </x:c>
      <x:c r="Q6" s="2" t="str">
        <x:v>Budget</x:v>
      </x:c>
      <x:c r="R6" s="2"/>
      <x:c r="S6" s="43"/>
    </x:row>
    <x:row r="7" ht="27" customHeight="1">
      <x:c r="C7" s="14" t="str">
        <x:v>Sales and production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Units sold</x:v>
      </x:c>
      <x:c r="D8" s="11" t="n">
        <x:f>SUM(F8:Q8)</x:f>
        <x:v>51090</x:v>
      </x:c>
      <x:c r="E8" s="11"/>
      <x:c r="F8" s="11" t="n">
        <x:f>'Assumptions'!F8</x:f>
        <x:v>4150</x:v>
      </x:c>
      <x:c r="G8" s="11" t="n">
        <x:f>'Assumptions'!G8</x:f>
        <x:v>4398</x:v>
      </x:c>
      <x:c r="H8" s="11" t="n">
        <x:f>'Assumptions'!H8</x:f>
        <x:v>4530</x:v>
      </x:c>
      <x:c r="I8" s="11" t="n">
        <x:f>'Assumptions'!I8</x:f>
        <x:v>4528</x:v>
      </x:c>
      <x:c r="J8" s="11" t="n">
        <x:f>'Assumptions'!J8</x:f>
        <x:v>4410</x:v>
      </x:c>
      <x:c r="K8" s="11" t="n">
        <x:f>'Assumptions'!K8</x:f>
        <x:v>4225</x:v>
      </x:c>
      <x:c r="L8" s="11" t="n">
        <x:f>'Assumptions'!L8</x:f>
        <x:v>4040</x:v>
      </x:c>
      <x:c r="M8" s="11" t="n">
        <x:f>'Assumptions'!M8</x:f>
        <x:v>3922</x:v>
      </x:c>
      <x:c r="N8" s="11" t="n">
        <x:f>'Assumptions'!N8</x:f>
        <x:v>3920</x:v>
      </x:c>
      <x:c r="O8" s="11" t="n">
        <x:f>'Assumptions'!O8</x:f>
        <x:v>4052</x:v>
      </x:c>
      <x:c r="P8" s="11" t="n">
        <x:f>'Assumptions'!P8</x:f>
        <x:v>4300</x:v>
      </x:c>
      <x:c r="Q8" s="11" t="n">
        <x:f>'Assumptions'!Q8</x:f>
        <x:v>4615</x:v>
      </x:c>
      <x:c r="R8" s="2"/>
      <x:c r="S8" s="43"/>
    </x:row>
    <x:row r="9" ht="27" customHeight="1">
      <x:c r="C9" s="2" t="str">
        <x:v>Selling price per unit</x:v>
      </x:c>
      <x:c r="D9" s="21" t="n">
        <x:f>IF(D8=0,"n.a.",D10/D8)</x:f>
        <x:v>135</x:v>
      </x:c>
      <x:c r="E9" s="21"/>
      <x:c r="F9" s="21" t="n">
        <x:f>'Assumptions'!F9</x:f>
        <x:v>135</x:v>
      </x:c>
      <x:c r="G9" s="21" t="n">
        <x:f>'Assumptions'!G9</x:f>
        <x:v>135</x:v>
      </x:c>
      <x:c r="H9" s="21" t="n">
        <x:f>'Assumptions'!H9</x:f>
        <x:v>135</x:v>
      </x:c>
      <x:c r="I9" s="21" t="n">
        <x:f>'Assumptions'!I9</x:f>
        <x:v>135</x:v>
      </x:c>
      <x:c r="J9" s="21" t="n">
        <x:f>'Assumptions'!J9</x:f>
        <x:v>135</x:v>
      </x:c>
      <x:c r="K9" s="21" t="n">
        <x:f>'Assumptions'!K9</x:f>
        <x:v>135</x:v>
      </x:c>
      <x:c r="L9" s="21" t="n">
        <x:f>'Assumptions'!L9</x:f>
        <x:v>135</x:v>
      </x:c>
      <x:c r="M9" s="21" t="n">
        <x:f>'Assumptions'!M9</x:f>
        <x:v>135</x:v>
      </x:c>
      <x:c r="N9" s="21" t="n">
        <x:f>'Assumptions'!N9</x:f>
        <x:v>135</x:v>
      </x:c>
      <x:c r="O9" s="21" t="n">
        <x:f>'Assumptions'!O9</x:f>
        <x:v>135</x:v>
      </x:c>
      <x:c r="P9" s="21" t="n">
        <x:f>'Assumptions'!P9</x:f>
        <x:v>135</x:v>
      </x:c>
      <x:c r="Q9" s="21" t="n">
        <x:f>'Assumptions'!Q9</x:f>
        <x:v>135</x:v>
      </x:c>
      <x:c r="R9" s="2"/>
      <x:c r="S9" s="43"/>
    </x:row>
    <x:row r="10" ht="27" customHeight="1">
      <x:c r="C10" s="26" t="str">
        <x:v>Revenue</x:v>
      </x:c>
      <x:c r="D10" s="27" t="n">
        <x:f>SUM(F10:Q10)</x:f>
        <x:v>6897150</x:v>
      </x:c>
      <x:c r="E10" s="27"/>
      <x:c r="F10" s="27" t="n">
        <x:f>F8*F9</x:f>
        <x:v>560250</x:v>
      </x:c>
      <x:c r="G10" s="27" t="n">
        <x:f>G8*G9</x:f>
        <x:v>593730</x:v>
      </x:c>
      <x:c r="H10" s="27" t="n">
        <x:f>H8*H9</x:f>
        <x:v>611550</x:v>
      </x:c>
      <x:c r="I10" s="27" t="n">
        <x:f>I8*I9</x:f>
        <x:v>611280</x:v>
      </x:c>
      <x:c r="J10" s="27" t="n">
        <x:f>J8*J9</x:f>
        <x:v>595350</x:v>
      </x:c>
      <x:c r="K10" s="27" t="n">
        <x:f>K8*K9</x:f>
        <x:v>570375</x:v>
      </x:c>
      <x:c r="L10" s="27" t="n">
        <x:f>L8*L9</x:f>
        <x:v>545400</x:v>
      </x:c>
      <x:c r="M10" s="27" t="n">
        <x:f>M8*M9</x:f>
        <x:v>529470</x:v>
      </x:c>
      <x:c r="N10" s="27" t="n">
        <x:f>N8*N9</x:f>
        <x:v>529200</x:v>
      </x:c>
      <x:c r="O10" s="27" t="n">
        <x:f>O8*O9</x:f>
        <x:v>547020</x:v>
      </x:c>
      <x:c r="P10" s="27" t="n">
        <x:f>P8*P9</x:f>
        <x:v>580500</x:v>
      </x:c>
      <x:c r="Q10" s="27" t="n">
        <x:f>Q8*Q9</x:f>
        <x:v>623025</x:v>
      </x:c>
      <x:c r="R10" s="2"/>
      <x:c r="S10" s="43" t="str">
        <x:v>Units sold × selling price. Annual price is revenue ÷ units.</x:v>
      </x:c>
    </x:row>
    <x:row r="11" ht="27" customHeight="1">
      <x:c r="C11" s="2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Raw material per unit</x:v>
      </x:c>
      <x:c r="D12" s="21" t="n">
        <x:f>IF(D8=0,"n.a.",D14/D8)</x:f>
        <x:v>45</x:v>
      </x:c>
      <x:c r="E12" s="21"/>
      <x:c r="F12" s="21" t="n">
        <x:f>'Assumptions'!F10</x:f>
        <x:v>45</x:v>
      </x:c>
      <x:c r="G12" s="21" t="n">
        <x:f>'Assumptions'!G10</x:f>
        <x:v>45</x:v>
      </x:c>
      <x:c r="H12" s="21" t="n">
        <x:f>'Assumptions'!H10</x:f>
        <x:v>45</x:v>
      </x:c>
      <x:c r="I12" s="21" t="n">
        <x:f>'Assumptions'!I10</x:f>
        <x:v>45</x:v>
      </x:c>
      <x:c r="J12" s="21" t="n">
        <x:f>'Assumptions'!J10</x:f>
        <x:v>45</x:v>
      </x:c>
      <x:c r="K12" s="21" t="n">
        <x:f>'Assumptions'!K10</x:f>
        <x:v>45</x:v>
      </x:c>
      <x:c r="L12" s="21" t="n">
        <x:f>'Assumptions'!L10</x:f>
        <x:v>45</x:v>
      </x:c>
      <x:c r="M12" s="21" t="n">
        <x:f>'Assumptions'!M10</x:f>
        <x:v>45</x:v>
      </x:c>
      <x:c r="N12" s="21" t="n">
        <x:f>'Assumptions'!N10</x:f>
        <x:v>45</x:v>
      </x:c>
      <x:c r="O12" s="21" t="n">
        <x:f>'Assumptions'!O10</x:f>
        <x:v>45</x:v>
      </x:c>
      <x:c r="P12" s="21" t="n">
        <x:f>'Assumptions'!P10</x:f>
        <x:v>45</x:v>
      </x:c>
      <x:c r="Q12" s="21" t="n">
        <x:f>'Assumptions'!Q10</x:f>
        <x:v>45</x:v>
      </x:c>
      <x:c r="R12" s="2"/>
      <x:c r="S12" s="43"/>
    </x:row>
    <x:row r="13" ht="27" customHeight="1">
      <x:c r="C13" s="2" t="str">
        <x:v>Conversion cost per unit</x:v>
      </x:c>
      <x:c r="D13" s="21" t="n">
        <x:f>IF(D8=0,"n.a.",D15/D8)</x:f>
        <x:v>25</x:v>
      </x:c>
      <x:c r="E13" s="21"/>
      <x:c r="F13" s="21" t="n">
        <x:f>'Assumptions'!F11</x:f>
        <x:v>25</x:v>
      </x:c>
      <x:c r="G13" s="21" t="n">
        <x:f>'Assumptions'!G11</x:f>
        <x:v>25</x:v>
      </x:c>
      <x:c r="H13" s="21" t="n">
        <x:f>'Assumptions'!H11</x:f>
        <x:v>25</x:v>
      </x:c>
      <x:c r="I13" s="21" t="n">
        <x:f>'Assumptions'!I11</x:f>
        <x:v>25</x:v>
      </x:c>
      <x:c r="J13" s="21" t="n">
        <x:f>'Assumptions'!J11</x:f>
        <x:v>25</x:v>
      </x:c>
      <x:c r="K13" s="21" t="n">
        <x:f>'Assumptions'!K11</x:f>
        <x:v>25</x:v>
      </x:c>
      <x:c r="L13" s="21" t="n">
        <x:f>'Assumptions'!L11</x:f>
        <x:v>25</x:v>
      </x:c>
      <x:c r="M13" s="21" t="n">
        <x:f>'Assumptions'!M11</x:f>
        <x:v>25</x:v>
      </x:c>
      <x:c r="N13" s="21" t="n">
        <x:f>'Assumptions'!N11</x:f>
        <x:v>25</x:v>
      </x:c>
      <x:c r="O13" s="21" t="n">
        <x:f>'Assumptions'!O11</x:f>
        <x:v>25</x:v>
      </x:c>
      <x:c r="P13" s="21" t="n">
        <x:f>'Assumptions'!P11</x:f>
        <x:v>25</x:v>
      </x:c>
      <x:c r="Q13" s="21" t="n">
        <x:f>'Assumptions'!Q11</x:f>
        <x:v>25</x:v>
      </x:c>
      <x:c r="R13" s="2"/>
      <x:c r="S13" s="43"/>
    </x:row>
    <x:row r="14" ht="27" customHeight="1">
      <x:c r="C14" s="2" t="str">
        <x:v>Raw material cost</x:v>
      </x:c>
      <x:c r="D14" s="11" t="n">
        <x:f>SUM(F14:Q14)</x:f>
        <x:v>2299050</x:v>
      </x:c>
      <x:c r="E14" s="11"/>
      <x:c r="F14" s="11" t="n">
        <x:f>F8*F12</x:f>
        <x:v>186750</x:v>
      </x:c>
      <x:c r="G14" s="11" t="n">
        <x:f>G8*G12</x:f>
        <x:v>197910</x:v>
      </x:c>
      <x:c r="H14" s="11" t="n">
        <x:f>H8*H12</x:f>
        <x:v>203850</x:v>
      </x:c>
      <x:c r="I14" s="11" t="n">
        <x:f>I8*I12</x:f>
        <x:v>203760</x:v>
      </x:c>
      <x:c r="J14" s="11" t="n">
        <x:f>J8*J12</x:f>
        <x:v>198450</x:v>
      </x:c>
      <x:c r="K14" s="11" t="n">
        <x:f>K8*K12</x:f>
        <x:v>190125</x:v>
      </x:c>
      <x:c r="L14" s="11" t="n">
        <x:f>L8*L12</x:f>
        <x:v>181800</x:v>
      </x:c>
      <x:c r="M14" s="11" t="n">
        <x:f>M8*M12</x:f>
        <x:v>176490</x:v>
      </x:c>
      <x:c r="N14" s="11" t="n">
        <x:f>N8*N12</x:f>
        <x:v>176400</x:v>
      </x:c>
      <x:c r="O14" s="11" t="n">
        <x:f>O8*O12</x:f>
        <x:v>182340</x:v>
      </x:c>
      <x:c r="P14" s="11" t="n">
        <x:f>P8*P12</x:f>
        <x:v>193500</x:v>
      </x:c>
      <x:c r="Q14" s="11" t="n">
        <x:f>Q8*Q12</x:f>
        <x:v>207675</x:v>
      </x:c>
      <x:c r="R14" s="2"/>
      <x:c r="S14" s="43"/>
    </x:row>
    <x:row r="15" ht="27" customHeight="1">
      <x:c r="C15" s="2" t="str">
        <x:v>Conversion cost</x:v>
      </x:c>
      <x:c r="D15" s="11" t="n">
        <x:f>SUM(F15:Q15)</x:f>
        <x:v>1277250</x:v>
      </x:c>
      <x:c r="E15" s="11"/>
      <x:c r="F15" s="11" t="n">
        <x:f>F8*F13</x:f>
        <x:v>103750</x:v>
      </x:c>
      <x:c r="G15" s="11" t="n">
        <x:f>G8*G13</x:f>
        <x:v>109950</x:v>
      </x:c>
      <x:c r="H15" s="11" t="n">
        <x:f>H8*H13</x:f>
        <x:v>113250</x:v>
      </x:c>
      <x:c r="I15" s="11" t="n">
        <x:f>I8*I13</x:f>
        <x:v>113200</x:v>
      </x:c>
      <x:c r="J15" s="11" t="n">
        <x:f>J8*J13</x:f>
        <x:v>110250</x:v>
      </x:c>
      <x:c r="K15" s="11" t="n">
        <x:f>K8*K13</x:f>
        <x:v>105625</x:v>
      </x:c>
      <x:c r="L15" s="11" t="n">
        <x:f>L8*L13</x:f>
        <x:v>101000</x:v>
      </x:c>
      <x:c r="M15" s="11" t="n">
        <x:f>M8*M13</x:f>
        <x:v>98050</x:v>
      </x:c>
      <x:c r="N15" s="11" t="n">
        <x:f>N8*N13</x:f>
        <x:v>98000</x:v>
      </x:c>
      <x:c r="O15" s="11" t="n">
        <x:f>O8*O13</x:f>
        <x:v>101300</x:v>
      </x:c>
      <x:c r="P15" s="11" t="n">
        <x:f>P8*P13</x:f>
        <x:v>107500</x:v>
      </x:c>
      <x:c r="Q15" s="11" t="n">
        <x:f>Q8*Q13</x:f>
        <x:v>115375</x:v>
      </x:c>
      <x:c r="R15" s="2"/>
      <x:c r="S15" s="43"/>
    </x:row>
    <x:row r="16" ht="27" customHeight="1">
      <x:c r="C16" s="26" t="str">
        <x:v>COGS</x:v>
      </x:c>
      <x:c r="D16" s="27" t="n">
        <x:f>SUM(F16:Q16)</x:f>
        <x:v>3576300</x:v>
      </x:c>
      <x:c r="E16" s="27"/>
      <x:c r="F16" s="27" t="n">
        <x:f>SUM(F14:F15)</x:f>
        <x:v>290500</x:v>
      </x:c>
      <x:c r="G16" s="27" t="n">
        <x:f>SUM(G14:G15)</x:f>
        <x:v>307860</x:v>
      </x:c>
      <x:c r="H16" s="27" t="n">
        <x:f>SUM(H14:H15)</x:f>
        <x:v>317100</x:v>
      </x:c>
      <x:c r="I16" s="27" t="n">
        <x:f>SUM(I14:I15)</x:f>
        <x:v>316960</x:v>
      </x:c>
      <x:c r="J16" s="27" t="n">
        <x:f>SUM(J14:J15)</x:f>
        <x:v>308700</x:v>
      </x:c>
      <x:c r="K16" s="27" t="n">
        <x:f>SUM(K14:K15)</x:f>
        <x:v>295750</x:v>
      </x:c>
      <x:c r="L16" s="27" t="n">
        <x:f>SUM(L14:L15)</x:f>
        <x:v>282800</x:v>
      </x:c>
      <x:c r="M16" s="27" t="n">
        <x:f>SUM(M14:M15)</x:f>
        <x:v>274540</x:v>
      </x:c>
      <x:c r="N16" s="27" t="n">
        <x:f>SUM(N14:N15)</x:f>
        <x:v>274400</x:v>
      </x:c>
      <x:c r="O16" s="27" t="n">
        <x:f>SUM(O14:O15)</x:f>
        <x:v>283640</x:v>
      </x:c>
      <x:c r="P16" s="27" t="n">
        <x:f>SUM(P14:P15)</x:f>
        <x:v>301000</x:v>
      </x:c>
      <x:c r="Q16" s="27" t="n">
        <x:f>SUM(Q14:Q15)</x:f>
        <x:v>323050</x:v>
      </x:c>
      <x:c r="R16" s="2"/>
      <x:c r="S16" s="43" t="str">
        <x:v>Raw material cost + conversion cost.</x:v>
      </x:c>
    </x:row>
    <x:row r="17" ht="27" customHeight="1">
      <x:c r="C17" s="26" t="str">
        <x:v>Gross profit</x:v>
      </x:c>
      <x:c r="D17" s="27" t="n">
        <x:f>SUM(F17:Q17)</x:f>
        <x:v>3320850</x:v>
      </x:c>
      <x:c r="E17" s="27"/>
      <x:c r="F17" s="27" t="n">
        <x:f>F10-F16</x:f>
        <x:v>269750</x:v>
      </x:c>
      <x:c r="G17" s="27" t="n">
        <x:f>G10-G16</x:f>
        <x:v>285870</x:v>
      </x:c>
      <x:c r="H17" s="27" t="n">
        <x:f>H10-H16</x:f>
        <x:v>294450</x:v>
      </x:c>
      <x:c r="I17" s="27" t="n">
        <x:f>I10-I16</x:f>
        <x:v>294320</x:v>
      </x:c>
      <x:c r="J17" s="27" t="n">
        <x:f>J10-J16</x:f>
        <x:v>286650</x:v>
      </x:c>
      <x:c r="K17" s="27" t="n">
        <x:f>K10-K16</x:f>
        <x:v>274625</x:v>
      </x:c>
      <x:c r="L17" s="27" t="n">
        <x:f>L10-L16</x:f>
        <x:v>262600</x:v>
      </x:c>
      <x:c r="M17" s="27" t="n">
        <x:f>M10-M16</x:f>
        <x:v>254930</x:v>
      </x:c>
      <x:c r="N17" s="27" t="n">
        <x:f>N10-N16</x:f>
        <x:v>254800</x:v>
      </x:c>
      <x:c r="O17" s="27" t="n">
        <x:f>O10-O16</x:f>
        <x:v>263380</x:v>
      </x:c>
      <x:c r="P17" s="27" t="n">
        <x:f>P10-P16</x:f>
        <x:v>279500</x:v>
      </x:c>
      <x:c r="Q17" s="27" t="n">
        <x:f>Q10-Q16</x:f>
        <x:v>299975</x:v>
      </x:c>
      <x:c r="R17" s="2"/>
      <x:c r="S17" s="43"/>
    </x:row>
    <x:row r="18" ht="27" customHeight="1">
      <x:c r="C18" s="30" t="str">
        <x:v>Gross margin</x:v>
      </x:c>
      <x:c r="D18" s="31" t="n">
        <x:f>IF(D10=0,"n.a.",D17/D10)</x:f>
        <x:v>0.48148148148148145</x:v>
      </x:c>
      <x:c r="E18" s="31"/>
      <x:c r="F18" s="31" t="n">
        <x:f>IF(F10=0,"n.a.",F17/F10)</x:f>
        <x:v>0.48148148148148145</x:v>
      </x:c>
      <x:c r="G18" s="31" t="n">
        <x:f>IF(G10=0,"n.a.",G17/G10)</x:f>
        <x:v>0.48148148148148145</x:v>
      </x:c>
      <x:c r="H18" s="31" t="n">
        <x:f>IF(H10=0,"n.a.",H17/H10)</x:f>
        <x:v>0.48148148148148145</x:v>
      </x:c>
      <x:c r="I18" s="31" t="n">
        <x:f>IF(I10=0,"n.a.",I17/I10)</x:f>
        <x:v>0.48148148148148145</x:v>
      </x:c>
      <x:c r="J18" s="31" t="n">
        <x:f>IF(J10=0,"n.a.",J17/J10)</x:f>
        <x:v>0.48148148148148145</x:v>
      </x:c>
      <x:c r="K18" s="31" t="n">
        <x:f>IF(K10=0,"n.a.",K17/K10)</x:f>
        <x:v>0.48148148148148145</x:v>
      </x:c>
      <x:c r="L18" s="31" t="n">
        <x:f>IF(L10=0,"n.a.",L17/L10)</x:f>
        <x:v>0.48148148148148145</x:v>
      </x:c>
      <x:c r="M18" s="31" t="n">
        <x:f>IF(M10=0,"n.a.",M17/M10)</x:f>
        <x:v>0.48148148148148145</x:v>
      </x:c>
      <x:c r="N18" s="31" t="n">
        <x:f>IF(N10=0,"n.a.",N17/N10)</x:f>
        <x:v>0.48148148148148145</x:v>
      </x:c>
      <x:c r="O18" s="31" t="n">
        <x:f>IF(O10=0,"n.a.",O17/O10)</x:f>
        <x:v>0.48148148148148145</x:v>
      </x:c>
      <x:c r="P18" s="31" t="n">
        <x:f>IF(P10=0,"n.a.",P17/P10)</x:f>
        <x:v>0.48148148148148145</x:v>
      </x:c>
      <x:c r="Q18" s="31" t="n">
        <x:f>IF(Q10=0,"n.a.",Q17/Q10)</x:f>
        <x:v>0.48148148148148145</x:v>
      </x:c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14" t="str">
        <x:v>Payroll and operating expenses</x:v>
      </x:c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2"/>
      <x:c r="S20" s="43"/>
    </x:row>
    <x:row r="21" ht="27" customHeight="1">
      <x:c r="C21" s="2" t="str">
        <x:v>Support payroll</x:v>
      </x:c>
      <x:c r="D21" s="11" t="n">
        <x:f>SUM(F21:Q21)</x:f>
        <x:v>2070600</x:v>
      </x:c>
      <x:c r="E21" s="11"/>
      <x:c r="F21" s="11" t="n">
        <x:f>'Headcount'!F16</x:f>
        <x:v>168000</x:v>
      </x:c>
      <x:c r="G21" s="11" t="n">
        <x:f>'Headcount'!G16</x:f>
        <x:v>168000</x:v>
      </x:c>
      <x:c r="H21" s="11" t="n">
        <x:f>'Headcount'!H16</x:f>
        <x:v>172200</x:v>
      </x:c>
      <x:c r="I21" s="11" t="n">
        <x:f>'Headcount'!I16</x:f>
        <x:v>176400</x:v>
      </x:c>
      <x:c r="J21" s="11" t="n">
        <x:f>'Headcount'!J16</x:f>
        <x:v>176400</x:v>
      </x:c>
      <x:c r="K21" s="11" t="n">
        <x:f>'Headcount'!K16</x:f>
        <x:v>172200</x:v>
      </x:c>
      <x:c r="L21" s="11" t="n">
        <x:f>'Headcount'!L16</x:f>
        <x:v>168000</x:v>
      </x:c>
      <x:c r="M21" s="11" t="n">
        <x:f>'Headcount'!M16</x:f>
        <x:v>168000</x:v>
      </x:c>
      <x:c r="N21" s="11" t="n">
        <x:f>'Headcount'!N16</x:f>
        <x:v>172200</x:v>
      </x:c>
      <x:c r="O21" s="11" t="n">
        <x:f>'Headcount'!O16</x:f>
        <x:v>176400</x:v>
      </x:c>
      <x:c r="P21" s="11" t="n">
        <x:f>'Headcount'!P16</x:f>
        <x:v>176400</x:v>
      </x:c>
      <x:c r="Q21" s="11" t="n">
        <x:f>'Headcount'!Q16</x:f>
        <x:v>176400</x:v>
      </x:c>
      <x:c r="R21" s="2"/>
      <x:c r="S21" s="43" t="str">
        <x:v>Support payroll is separate from production labor in COGS.</x:v>
      </x:c>
    </x:row>
    <x:row r="22" ht="27" customHeight="1">
      <x:c r="C22" s="2" t="str">
        <x:v>Fixed SG&amp;A</x:v>
      </x:c>
      <x:c r="D22" s="11" t="n">
        <x:f>SUM(F22:Q22)</x:f>
        <x:v>660000</x:v>
      </x:c>
      <x:c r="E22" s="11"/>
      <x:c r="F22" s="11" t="n">
        <x:f>'Assumptions'!F12</x:f>
        <x:v>55000</x:v>
      </x:c>
      <x:c r="G22" s="11" t="n">
        <x:f>'Assumptions'!G12</x:f>
        <x:v>55000</x:v>
      </x:c>
      <x:c r="H22" s="11" t="n">
        <x:f>'Assumptions'!H12</x:f>
        <x:v>55000</x:v>
      </x:c>
      <x:c r="I22" s="11" t="n">
        <x:f>'Assumptions'!I12</x:f>
        <x:v>55000</x:v>
      </x:c>
      <x:c r="J22" s="11" t="n">
        <x:f>'Assumptions'!J12</x:f>
        <x:v>55000</x:v>
      </x:c>
      <x:c r="K22" s="11" t="n">
        <x:f>'Assumptions'!K12</x:f>
        <x:v>55000</x:v>
      </x:c>
      <x:c r="L22" s="11" t="n">
        <x:f>'Assumptions'!L12</x:f>
        <x:v>55000</x:v>
      </x:c>
      <x:c r="M22" s="11" t="n">
        <x:f>'Assumptions'!M12</x:f>
        <x:v>55000</x:v>
      </x:c>
      <x:c r="N22" s="11" t="n">
        <x:f>'Assumptions'!N12</x:f>
        <x:v>55000</x:v>
      </x:c>
      <x:c r="O22" s="11" t="n">
        <x:f>'Assumptions'!O12</x:f>
        <x:v>55000</x:v>
      </x:c>
      <x:c r="P22" s="11" t="n">
        <x:f>'Assumptions'!P12</x:f>
        <x:v>55000</x:v>
      </x:c>
      <x:c r="Q22" s="11" t="n">
        <x:f>'Assumptions'!Q12</x:f>
        <x:v>55000</x:v>
      </x:c>
      <x:c r="R22" s="2"/>
      <x:c r="S22" s="43"/>
    </x:row>
    <x:row r="23" ht="27" customHeight="1">
      <x:c r="C23" s="2" t="str">
        <x:v>Variable SG&amp;A rate</x:v>
      </x:c>
      <x:c r="D23" s="20" t="n">
        <x:f>IF(D10=0,"n.a.",D24/D10)</x:f>
        <x:v>0.035</x:v>
      </x:c>
      <x:c r="E23" s="11"/>
      <x:c r="F23" s="20" t="n">
        <x:f>'Assumptions'!F13</x:f>
        <x:v>0.035</x:v>
      </x:c>
      <x:c r="G23" s="20" t="n">
        <x:f>'Assumptions'!G13</x:f>
        <x:v>0.035</x:v>
      </x:c>
      <x:c r="H23" s="20" t="n">
        <x:f>'Assumptions'!H13</x:f>
        <x:v>0.035</x:v>
      </x:c>
      <x:c r="I23" s="20" t="n">
        <x:f>'Assumptions'!I13</x:f>
        <x:v>0.035</x:v>
      </x:c>
      <x:c r="J23" s="20" t="n">
        <x:f>'Assumptions'!J13</x:f>
        <x:v>0.035</x:v>
      </x:c>
      <x:c r="K23" s="20" t="n">
        <x:f>'Assumptions'!K13</x:f>
        <x:v>0.035</x:v>
      </x:c>
      <x:c r="L23" s="20" t="n">
        <x:f>'Assumptions'!L13</x:f>
        <x:v>0.035</x:v>
      </x:c>
      <x:c r="M23" s="20" t="n">
        <x:f>'Assumptions'!M13</x:f>
        <x:v>0.035</x:v>
      </x:c>
      <x:c r="N23" s="20" t="n">
        <x:f>'Assumptions'!N13</x:f>
        <x:v>0.035</x:v>
      </x:c>
      <x:c r="O23" s="20" t="n">
        <x:f>'Assumptions'!O13</x:f>
        <x:v>0.035</x:v>
      </x:c>
      <x:c r="P23" s="20" t="n">
        <x:f>'Assumptions'!P13</x:f>
        <x:v>0.035</x:v>
      </x:c>
      <x:c r="Q23" s="20" t="n">
        <x:f>'Assumptions'!Q13</x:f>
        <x:v>0.035</x:v>
      </x:c>
      <x:c r="R23" s="2"/>
      <x:c r="S23" s="43"/>
    </x:row>
    <x:row r="24" ht="27" customHeight="1">
      <x:c r="C24" s="2" t="str">
        <x:v>Variable SG&amp;A</x:v>
      </x:c>
      <x:c r="D24" s="11" t="n">
        <x:f>SUM(F24:Q24)</x:f>
        <x:v>241400.25000000003</x:v>
      </x:c>
      <x:c r="E24" s="11"/>
      <x:c r="F24" s="11" t="n">
        <x:f>F10*F23</x:f>
        <x:v>19608.750000000004</x:v>
      </x:c>
      <x:c r="G24" s="11" t="n">
        <x:f>G10*G23</x:f>
        <x:v>20780.550000000003</x:v>
      </x:c>
      <x:c r="H24" s="11" t="n">
        <x:f>H10*H23</x:f>
        <x:v>21404.250000000004</x:v>
      </x:c>
      <x:c r="I24" s="11" t="n">
        <x:f>I10*I23</x:f>
        <x:v>21394.800000000003</x:v>
      </x:c>
      <x:c r="J24" s="11" t="n">
        <x:f>J10*J23</x:f>
        <x:v>20837.250000000004</x:v>
      </x:c>
      <x:c r="K24" s="11" t="n">
        <x:f>K10*K23</x:f>
        <x:v>19963.125000000004</x:v>
      </x:c>
      <x:c r="L24" s="11" t="n">
        <x:f>L10*L23</x:f>
        <x:v>19089</x:v>
      </x:c>
      <x:c r="M24" s="11" t="n">
        <x:f>M10*M23</x:f>
        <x:v>18531.45</x:v>
      </x:c>
      <x:c r="N24" s="11" t="n">
        <x:f>N10*N23</x:f>
        <x:v>18522</x:v>
      </x:c>
      <x:c r="O24" s="11" t="n">
        <x:f>O10*O23</x:f>
        <x:v>19145.7</x:v>
      </x:c>
      <x:c r="P24" s="11" t="n">
        <x:f>P10*P23</x:f>
        <x:v>20317.500000000004</x:v>
      </x:c>
      <x:c r="Q24" s="11" t="n">
        <x:f>Q10*Q23</x:f>
        <x:v>21805.875000000004</x:v>
      </x:c>
      <x:c r="R24" s="2"/>
      <x:c r="S24" s="43"/>
    </x:row>
    <x:row r="25" ht="27" customHeight="1">
      <x:c r="C25" s="26" t="str">
        <x:v>Total SG&amp;A</x:v>
      </x:c>
      <x:c r="D25" s="27" t="n">
        <x:f>SUM(F25:Q25)</x:f>
        <x:v>901400.2499999999</x:v>
      </x:c>
      <x:c r="E25" s="27"/>
      <x:c r="F25" s="27" t="n">
        <x:f>F22+F24</x:f>
        <x:v>74608.75</x:v>
      </x:c>
      <x:c r="G25" s="27" t="n">
        <x:f>G22+G24</x:f>
        <x:v>75780.55</x:v>
      </x:c>
      <x:c r="H25" s="27" t="n">
        <x:f>H22+H24</x:f>
        <x:v>76404.25</x:v>
      </x:c>
      <x:c r="I25" s="27" t="n">
        <x:f>I22+I24</x:f>
        <x:v>76394.8</x:v>
      </x:c>
      <x:c r="J25" s="27" t="n">
        <x:f>J22+J24</x:f>
        <x:v>75837.25</x:v>
      </x:c>
      <x:c r="K25" s="27" t="n">
        <x:f>K22+K24</x:f>
        <x:v>74963.125</x:v>
      </x:c>
      <x:c r="L25" s="27" t="n">
        <x:f>L22+L24</x:f>
        <x:v>74089</x:v>
      </x:c>
      <x:c r="M25" s="27" t="n">
        <x:f>M22+M24</x:f>
        <x:v>73531.45</x:v>
      </x:c>
      <x:c r="N25" s="27" t="n">
        <x:f>N22+N24</x:f>
        <x:v>73522</x:v>
      </x:c>
      <x:c r="O25" s="27" t="n">
        <x:f>O22+O24</x:f>
        <x:v>74145.7</x:v>
      </x:c>
      <x:c r="P25" s="27" t="n">
        <x:f>P22+P24</x:f>
        <x:v>75317.5</x:v>
      </x:c>
      <x:c r="Q25" s="27" t="n">
        <x:f>Q22+Q24</x:f>
        <x:v>76805.875</x:v>
      </x:c>
      <x:c r="R25" s="2"/>
      <x:c r="S25" s="43"/>
    </x:row>
    <x:row r="26" ht="27" customHeight="1">
      <x:c r="C26" s="2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7" customHeight="1">
      <x:c r="C27" s="28" t="str">
        <x:v>EBITDA</x:v>
      </x:c>
      <x:c r="D27" s="32" t="n">
        <x:f>SUM(F27:Q27)</x:f>
        <x:v>348849.75</x:v>
      </x:c>
      <x:c r="E27" s="32"/>
      <x:c r="F27" s="32" t="n">
        <x:f>F17-F21-F25</x:f>
        <x:v>27141.25</x:v>
      </x:c>
      <x:c r="G27" s="32" t="n">
        <x:f>G17-G21-G25</x:f>
        <x:v>42089.45</x:v>
      </x:c>
      <x:c r="H27" s="32" t="n">
        <x:f>H17-H21-H25</x:f>
        <x:v>45845.75</x:v>
      </x:c>
      <x:c r="I27" s="32" t="n">
        <x:f>I17-I21-I25</x:f>
        <x:v>41525.2</x:v>
      </x:c>
      <x:c r="J27" s="32" t="n">
        <x:f>J17-J21-J25</x:f>
        <x:v>34412.75</x:v>
      </x:c>
      <x:c r="K27" s="32" t="n">
        <x:f>K17-K21-K25</x:f>
        <x:v>27461.875</x:v>
      </x:c>
      <x:c r="L27" s="32" t="n">
        <x:f>L17-L21-L25</x:f>
        <x:v>20511</x:v>
      </x:c>
      <x:c r="M27" s="32" t="n">
        <x:f>M17-M21-M25</x:f>
        <x:v>13398.550000000003</x:v>
      </x:c>
      <x:c r="N27" s="32" t="n">
        <x:f>N17-N21-N25</x:f>
        <x:v>9078</x:v>
      </x:c>
      <x:c r="O27" s="32" t="n">
        <x:f>O17-O21-O25</x:f>
        <x:v>12834.300000000003</x:v>
      </x:c>
      <x:c r="P27" s="32" t="n">
        <x:f>P17-P21-P25</x:f>
        <x:v>27782.5</x:v>
      </x:c>
      <x:c r="Q27" s="32" t="n">
        <x:f>Q17-Q21-Q25</x:f>
        <x:v>46769.125</x:v>
      </x:c>
      <x:c r="R27" s="2"/>
      <x:c r="S27" s="43" t="str">
        <x:v>Gross profit − support payroll − SG&amp;A.</x:v>
      </x:c>
    </x:row>
    <x:row r="28" ht="27" customHeight="1">
      <x:c r="C28" s="30" t="str">
        <x:v>EBITDA margin</x:v>
      </x:c>
      <x:c r="D28" s="31" t="n">
        <x:f>IF(D10=0,"n.a.",D27/D10)</x:f>
        <x:v>0.0505788260368413</x:v>
      </x:c>
      <x:c r="E28" s="31"/>
      <x:c r="F28" s="31" t="n">
        <x:f>IF(F10=0,"n.a.",F27/F10)</x:f>
        <x:v>0.048444890673806335</x:v>
      </x:c>
      <x:c r="G28" s="31" t="n">
        <x:f>IF(G10=0,"n.a.",G27/G10)</x:f>
        <x:v>0.070889882606572</x:v>
      </x:c>
      <x:c r="H28" s="31" t="n">
        <x:f>IF(H10=0,"n.a.",H27/H10)</x:f>
        <x:v>0.07496647861990026</x:v>
      </x:c>
      <x:c r="I28" s="31" t="n">
        <x:f>IF(I10=0,"n.a.",I27/I10)</x:f>
        <x:v>0.06793155346158879</x:v>
      </x:c>
      <x:c r="J28" s="31" t="n">
        <x:f>IF(J10=0,"n.a.",J27/J10)</x:f>
        <x:v>0.057802553120013436</x:v>
      </x:c>
      <x:c r="K28" s="31" t="n">
        <x:f>IF(K10=0,"n.a.",K27/K10)</x:f>
        <x:v>0.04814705237782161</x:v>
      </x:c>
      <x:c r="L28" s="31" t="n">
        <x:f>IF(L10=0,"n.a.",L27/L10)</x:f>
        <x:v>0.03760726072607261</x:v>
      </x:c>
      <x:c r="M28" s="31" t="n">
        <x:f>IF(M10=0,"n.a.",M27/M10)</x:f>
        <x:v>0.025305588607475404</x:v>
      </x:c>
      <x:c r="N28" s="31" t="n">
        <x:f>IF(N10=0,"n.a.",N27/N10)</x:f>
        <x:v>0.01715419501133787</x:v>
      </x:c>
      <x:c r="O28" s="31" t="n">
        <x:f>IF(O10=0,"n.a.",O27/O10)</x:f>
        <x:v>0.02346221344740595</x:v>
      </x:c>
      <x:c r="P28" s="31" t="n">
        <x:f>IF(P10=0,"n.a.",P27/P10)</x:f>
        <x:v>0.04785960378983635</x:v>
      </x:c>
      <x:c r="Q28" s="31" t="n">
        <x:f>IF(Q10=0,"n.a.",Q27/Q10)</x:f>
        <x:v>0.0750678142931664</x:v>
      </x:c>
      <x:c r="R28" s="2"/>
      <x:c r="S28" s="43"/>
    </x:row>
    <x:row r="29" ht="27" customHeight="1">
      <x:c r="C29" s="2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 t="str">
        <x:v>Contribution after variable SG&amp;A</x:v>
      </x:c>
      <x:c r="D30" s="11" t="n">
        <x:f>SUM(F30:Q30)</x:f>
        <x:v>3079449.75</x:v>
      </x:c>
      <x:c r="E30" s="11"/>
      <x:c r="F30" s="11" t="n">
        <x:f>F17-F24</x:f>
        <x:v>250141.25</x:v>
      </x:c>
      <x:c r="G30" s="11" t="n">
        <x:f>G17-G24</x:f>
        <x:v>265089.45</x:v>
      </x:c>
      <x:c r="H30" s="11" t="n">
        <x:f>H17-H24</x:f>
        <x:v>273045.75</x:v>
      </x:c>
      <x:c r="I30" s="11" t="n">
        <x:f>I17-I24</x:f>
        <x:v>272925.2</x:v>
      </x:c>
      <x:c r="J30" s="11" t="n">
        <x:f>J17-J24</x:f>
        <x:v>265812.75</x:v>
      </x:c>
      <x:c r="K30" s="11" t="n">
        <x:f>K17-K24</x:f>
        <x:v>254661.875</x:v>
      </x:c>
      <x:c r="L30" s="11" t="n">
        <x:f>L17-L24</x:f>
        <x:v>243511</x:v>
      </x:c>
      <x:c r="M30" s="11" t="n">
        <x:f>M17-M24</x:f>
        <x:v>236398.55</x:v>
      </x:c>
      <x:c r="N30" s="11" t="n">
        <x:f>N17-N24</x:f>
        <x:v>236278</x:v>
      </x:c>
      <x:c r="O30" s="11" t="n">
        <x:f>O17-O24</x:f>
        <x:v>244234.3</x:v>
      </x:c>
      <x:c r="P30" s="11" t="n">
        <x:f>P17-P24</x:f>
        <x:v>259182.5</x:v>
      </x:c>
      <x:c r="Q30" s="11" t="n">
        <x:f>Q17-Q24</x:f>
        <x:v>278169.125</x:v>
      </x:c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Forecast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 t="str">
        <x:v>Actual</x:v>
      </x:c>
      <x:c r="G6" s="2" t="str">
        <x:v>Actual</x:v>
      </x:c>
      <x:c r="H6" s="2" t="str">
        <x:v>Actual</x:v>
      </x:c>
      <x:c r="I6" s="2" t="str">
        <x:v>Actual</x:v>
      </x:c>
      <x:c r="J6" s="2" t="str">
        <x:v>Actual</x:v>
      </x:c>
      <x:c r="K6" s="2" t="str">
        <x:v>Actual</x:v>
      </x:c>
      <x:c r="L6" s="2" t="str">
        <x:v>Forecast</x:v>
      </x:c>
      <x:c r="M6" s="2" t="str">
        <x:v>Forecast</x:v>
      </x:c>
      <x:c r="N6" s="2" t="str">
        <x:v>Forecast</x:v>
      </x:c>
      <x:c r="O6" s="2" t="str">
        <x:v>Forecast</x:v>
      </x:c>
      <x:c r="P6" s="2" t="str">
        <x:v>Forecast</x:v>
      </x:c>
      <x:c r="Q6" s="2" t="str">
        <x:v>Forecast</x:v>
      </x:c>
      <x:c r="R6" s="2"/>
      <x:c r="S6" s="43"/>
    </x:row>
    <x:row r="7" ht="27" customHeight="1">
      <x:c r="C7" s="14" t="str">
        <x:v>Sales and production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Units sold</x:v>
      </x:c>
      <x:c r="D8" s="11" t="n">
        <x:f>SUM(F8:Q8)</x:f>
        <x:v>51533.98</x:v>
      </x:c>
      <x:c r="E8" s="11"/>
      <x:c r="F8" s="11" t="n">
        <x:f>'Actuals'!F8</x:f>
        <x:v>4275</x:v>
      </x:c>
      <x:c r="G8" s="11" t="n">
        <x:f>'Actuals'!G8</x:f>
        <x:v>4310</x:v>
      </x:c>
      <x:c r="H8" s="11" t="n">
        <x:f>'Actuals'!H8</x:f>
        <x:v>4575</x:v>
      </x:c>
      <x:c r="I8" s="11" t="n">
        <x:f>'Actuals'!I8</x:f>
        <x:v>4347</x:v>
      </x:c>
      <x:c r="J8" s="11" t="n">
        <x:f>'Actuals'!J8</x:f>
        <x:v>4498</x:v>
      </x:c>
      <x:c r="K8" s="11" t="n">
        <x:f>'Actuals'!K8</x:f>
        <x:v>4183</x:v>
      </x:c>
      <x:c r="L8" s="11" t="n">
        <x:f>'Budget'!L8*(1+'Assumptions'!L22)</x:f>
        <x:v>4120.8</x:v>
      </x:c>
      <x:c r="M8" s="11" t="n">
        <x:f>'Budget'!M8*(1+'Assumptions'!M22)</x:f>
        <x:v>4000.44</x:v>
      </x:c>
      <x:c r="N8" s="11" t="n">
        <x:f>'Budget'!N8*(1+'Assumptions'!N22)</x:f>
        <x:v>3998.4</x:v>
      </x:c>
      <x:c r="O8" s="11" t="n">
        <x:f>'Budget'!O8*(1+'Assumptions'!O22)</x:f>
        <x:v>4133.04</x:v>
      </x:c>
      <x:c r="P8" s="11" t="n">
        <x:f>'Budget'!P8*(1+'Assumptions'!P22)</x:f>
        <x:v>4386</x:v>
      </x:c>
      <x:c r="Q8" s="11" t="n">
        <x:f>'Budget'!Q8*(1+'Assumptions'!Q22)</x:f>
        <x:v>4707.3</x:v>
      </x:c>
      <x:c r="R8" s="2"/>
      <x:c r="S8" s="43"/>
    </x:row>
    <x:row r="9" ht="27" customHeight="1">
      <x:c r="C9" s="2" t="str">
        <x:v>Selling price per unit</x:v>
      </x:c>
      <x:c r="D9" s="21" t="n">
        <x:f>IF(D8=0,"n.a.",D10/D8)</x:f>
        <x:v>136.4330170695141</x:v>
      </x:c>
      <x:c r="E9" s="21"/>
      <x:c r="F9" s="21" t="n">
        <x:f>'Actuals'!F9</x:f>
        <x:v>136</x:v>
      </x:c>
      <x:c r="G9" s="21" t="n">
        <x:f>'Actuals'!G9</x:f>
        <x:v>135</x:v>
      </x:c>
      <x:c r="H9" s="21" t="n">
        <x:f>'Actuals'!H9</x:f>
        <x:v>137</x:v>
      </x:c>
      <x:c r="I9" s="21" t="n">
        <x:f>'Actuals'!I9</x:f>
        <x:v>136</x:v>
      </x:c>
      <x:c r="J9" s="21" t="n">
        <x:f>'Actuals'!J9</x:f>
        <x:v>138</x:v>
      </x:c>
      <x:c r="K9" s="21" t="n">
        <x:f>'Actuals'!K9</x:f>
        <x:v>137</x:v>
      </x:c>
      <x:c r="L9" s="21" t="n">
        <x:f>'Budget'!L9*(1+'Assumptions'!L23)</x:f>
        <x:v>136.35</x:v>
      </x:c>
      <x:c r="M9" s="21" t="n">
        <x:f>'Budget'!M9*(1+'Assumptions'!M23)</x:f>
        <x:v>136.35</x:v>
      </x:c>
      <x:c r="N9" s="21" t="n">
        <x:f>'Budget'!N9*(1+'Assumptions'!N23)</x:f>
        <x:v>136.35</x:v>
      </x:c>
      <x:c r="O9" s="21" t="n">
        <x:f>'Budget'!O9*(1+'Assumptions'!O23)</x:f>
        <x:v>136.35</x:v>
      </x:c>
      <x:c r="P9" s="21" t="n">
        <x:f>'Budget'!P9*(1+'Assumptions'!P23)</x:f>
        <x:v>136.35</x:v>
      </x:c>
      <x:c r="Q9" s="21" t="n">
        <x:f>'Budget'!Q9*(1+'Assumptions'!Q23)</x:f>
        <x:v>136.35</x:v>
      </x:c>
      <x:c r="R9" s="2"/>
      <x:c r="S9" s="43"/>
    </x:row>
    <x:row r="10" ht="27" customHeight="1">
      <x:c r="C10" s="26" t="str">
        <x:v>Revenue</x:v>
      </x:c>
      <x:c r="D10" s="27" t="n">
        <x:f>SUM(F10:Q10)</x:f>
        <x:v>7030936.373</x:v>
      </x:c>
      <x:c r="E10" s="27"/>
      <x:c r="F10" s="27" t="n">
        <x:f>F8*F9</x:f>
        <x:v>581400</x:v>
      </x:c>
      <x:c r="G10" s="27" t="n">
        <x:f>G8*G9</x:f>
        <x:v>581850</x:v>
      </x:c>
      <x:c r="H10" s="27" t="n">
        <x:f>H8*H9</x:f>
        <x:v>626775</x:v>
      </x:c>
      <x:c r="I10" s="27" t="n">
        <x:f>I8*I9</x:f>
        <x:v>591192</x:v>
      </x:c>
      <x:c r="J10" s="27" t="n">
        <x:f>J8*J9</x:f>
        <x:v>620724</x:v>
      </x:c>
      <x:c r="K10" s="27" t="n">
        <x:f>K8*K9</x:f>
        <x:v>573071</x:v>
      </x:c>
      <x:c r="L10" s="27" t="n">
        <x:f>L8*L9</x:f>
        <x:v>561871.08</x:v>
      </x:c>
      <x:c r="M10" s="27" t="n">
        <x:f>M8*M9</x:f>
        <x:v>545459.994</x:v>
      </x:c>
      <x:c r="N10" s="27" t="n">
        <x:f>N8*N9</x:f>
        <x:v>545181.84</x:v>
      </x:c>
      <x:c r="O10" s="27" t="n">
        <x:f>O8*O9</x:f>
        <x:v>563540.004</x:v>
      </x:c>
      <x:c r="P10" s="27" t="n">
        <x:f>P8*P9</x:f>
        <x:v>598031.1</x:v>
      </x:c>
      <x:c r="Q10" s="27" t="n">
        <x:f>Q8*Q9</x:f>
        <x:v>641840.355</x:v>
      </x:c>
      <x:c r="R10" s="2"/>
      <x:c r="S10" s="43" t="str">
        <x:v>Units sold × selling price. Annual price is revenue ÷ units.</x:v>
      </x:c>
    </x:row>
    <x:row r="11" ht="27" customHeight="1">
      <x:c r="C11" s="2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Raw material per unit</x:v>
      </x:c>
      <x:c r="D12" s="21" t="n">
        <x:f>IF(D8=0,"n.a.",D14/D8)</x:f>
        <x:v>46.43369623304857</x:v>
      </x:c>
      <x:c r="E12" s="21"/>
      <x:c r="F12" s="21" t="n">
        <x:f>'Actuals'!F10</x:f>
        <x:v>45</x:v>
      </x:c>
      <x:c r="G12" s="21" t="n">
        <x:f>'Actuals'!G10</x:f>
        <x:v>46</x:v>
      </x:c>
      <x:c r="H12" s="21" t="n">
        <x:f>'Actuals'!H10</x:f>
        <x:v>47</x:v>
      </x:c>
      <x:c r="I12" s="21" t="n">
        <x:f>'Actuals'!I10</x:f>
        <x:v>46</x:v>
      </x:c>
      <x:c r="J12" s="21" t="n">
        <x:f>'Actuals'!J10</x:f>
        <x:v>48</x:v>
      </x:c>
      <x:c r="K12" s="21" t="n">
        <x:f>'Actuals'!K10</x:f>
        <x:v>47</x:v>
      </x:c>
      <x:c r="L12" s="21" t="n">
        <x:f>'Budget'!L12*(1+'Assumptions'!L24)</x:f>
        <x:v>46.35</x:v>
      </x:c>
      <x:c r="M12" s="21" t="n">
        <x:f>'Budget'!M12*(1+'Assumptions'!M24)</x:f>
        <x:v>46.35</x:v>
      </x:c>
      <x:c r="N12" s="21" t="n">
        <x:f>'Budget'!N12*(1+'Assumptions'!N24)</x:f>
        <x:v>46.35</x:v>
      </x:c>
      <x:c r="O12" s="21" t="n">
        <x:f>'Budget'!O12*(1+'Assumptions'!O24)</x:f>
        <x:v>46.35</x:v>
      </x:c>
      <x:c r="P12" s="21" t="n">
        <x:f>'Budget'!P12*(1+'Assumptions'!P24)</x:f>
        <x:v>46.35</x:v>
      </x:c>
      <x:c r="Q12" s="21" t="n">
        <x:f>'Budget'!Q12*(1+'Assumptions'!Q24)</x:f>
        <x:v>46.35</x:v>
      </x:c>
      <x:c r="R12" s="2"/>
      <x:c r="S12" s="43"/>
    </x:row>
    <x:row r="13" ht="27" customHeight="1">
      <x:c r="C13" s="2" t="str">
        <x:v>Conversion cost per unit</x:v>
      </x:c>
      <x:c r="D13" s="21" t="n">
        <x:f>IF(D8=0,"n.a.",D15/D8)</x:f>
        <x:v>25.422750193173513</x:v>
      </x:c>
      <x:c r="E13" s="21"/>
      <x:c r="F13" s="21" t="n">
        <x:f>'Actuals'!F11</x:f>
        <x:v>25</x:v>
      </x:c>
      <x:c r="G13" s="21" t="n">
        <x:f>'Actuals'!G11</x:f>
        <x:v>25</x:v>
      </x:c>
      <x:c r="H13" s="21" t="n">
        <x:f>'Actuals'!H11</x:f>
        <x:v>26</x:v>
      </x:c>
      <x:c r="I13" s="21" t="n">
        <x:f>'Actuals'!I11</x:f>
        <x:v>26</x:v>
      </x:c>
      <x:c r="J13" s="21" t="n">
        <x:f>'Actuals'!J11</x:f>
        <x:v>26</x:v>
      </x:c>
      <x:c r="K13" s="21" t="n">
        <x:f>'Actuals'!K11</x:f>
        <x:v>27</x:v>
      </x:c>
      <x:c r="L13" s="21" t="n">
        <x:f>'Budget'!L13</x:f>
        <x:v>25</x:v>
      </x:c>
      <x:c r="M13" s="21" t="n">
        <x:f>'Budget'!M13</x:f>
        <x:v>25</x:v>
      </x:c>
      <x:c r="N13" s="21" t="n">
        <x:f>'Budget'!N13</x:f>
        <x:v>25</x:v>
      </x:c>
      <x:c r="O13" s="21" t="n">
        <x:f>'Budget'!O13</x:f>
        <x:v>25</x:v>
      </x:c>
      <x:c r="P13" s="21" t="n">
        <x:f>'Budget'!P13</x:f>
        <x:v>25</x:v>
      </x:c>
      <x:c r="Q13" s="21" t="n">
        <x:f>'Budget'!Q13</x:f>
        <x:v>25</x:v>
      </x:c>
      <x:c r="R13" s="2"/>
      <x:c r="S13" s="43"/>
    </x:row>
    <x:row r="14" ht="27" customHeight="1">
      <x:c r="C14" s="2" t="str">
        <x:v>Raw material cost</x:v>
      </x:c>
      <x:c r="D14" s="11" t="n">
        <x:f>SUM(F14:Q14)</x:f>
        <x:v>2392913.1730000004</x:v>
      </x:c>
      <x:c r="E14" s="11"/>
      <x:c r="F14" s="11" t="n">
        <x:f>F8*F12</x:f>
        <x:v>192375</x:v>
      </x:c>
      <x:c r="G14" s="11" t="n">
        <x:f>G8*G12</x:f>
        <x:v>198260</x:v>
      </x:c>
      <x:c r="H14" s="11" t="n">
        <x:f>H8*H12</x:f>
        <x:v>215025</x:v>
      </x:c>
      <x:c r="I14" s="11" t="n">
        <x:f>I8*I12</x:f>
        <x:v>199962</x:v>
      </x:c>
      <x:c r="J14" s="11" t="n">
        <x:f>J8*J12</x:f>
        <x:v>215904</x:v>
      </x:c>
      <x:c r="K14" s="11" t="n">
        <x:f>K8*K12</x:f>
        <x:v>196601</x:v>
      </x:c>
      <x:c r="L14" s="11" t="n">
        <x:f>L8*L12</x:f>
        <x:v>190999.08000000002</x:v>
      </x:c>
      <x:c r="M14" s="11" t="n">
        <x:f>M8*M12</x:f>
        <x:v>185420.394</x:v>
      </x:c>
      <x:c r="N14" s="11" t="n">
        <x:f>N8*N12</x:f>
        <x:v>185325.84</x:v>
      </x:c>
      <x:c r="O14" s="11" t="n">
        <x:f>O8*O12</x:f>
        <x:v>191566.404</x:v>
      </x:c>
      <x:c r="P14" s="11" t="n">
        <x:f>P8*P12</x:f>
        <x:v>203291.1</x:v>
      </x:c>
      <x:c r="Q14" s="11" t="n">
        <x:f>Q8*Q12</x:f>
        <x:v>218183.355</x:v>
      </x:c>
      <x:c r="R14" s="2"/>
      <x:c r="S14" s="43"/>
    </x:row>
    <x:row r="15" ht="27" customHeight="1">
      <x:c r="C15" s="2" t="str">
        <x:v>Conversion cost</x:v>
      </x:c>
      <x:c r="D15" s="11" t="n">
        <x:f>SUM(F15:Q15)</x:f>
        <x:v>1310135.5</x:v>
      </x:c>
      <x:c r="E15" s="11"/>
      <x:c r="F15" s="11" t="n">
        <x:f>F8*F13</x:f>
        <x:v>106875</x:v>
      </x:c>
      <x:c r="G15" s="11" t="n">
        <x:f>G8*G13</x:f>
        <x:v>107750</x:v>
      </x:c>
      <x:c r="H15" s="11" t="n">
        <x:f>H8*H13</x:f>
        <x:v>118950</x:v>
      </x:c>
      <x:c r="I15" s="11" t="n">
        <x:f>I8*I13</x:f>
        <x:v>113022</x:v>
      </x:c>
      <x:c r="J15" s="11" t="n">
        <x:f>J8*J13</x:f>
        <x:v>116948</x:v>
      </x:c>
      <x:c r="K15" s="11" t="n">
        <x:f>K8*K13</x:f>
        <x:v>112941</x:v>
      </x:c>
      <x:c r="L15" s="11" t="n">
        <x:f>L8*L13</x:f>
        <x:v>103020</x:v>
      </x:c>
      <x:c r="M15" s="11" t="n">
        <x:f>M8*M13</x:f>
        <x:v>100011</x:v>
      </x:c>
      <x:c r="N15" s="11" t="n">
        <x:f>N8*N13</x:f>
        <x:v>99960</x:v>
      </x:c>
      <x:c r="O15" s="11" t="n">
        <x:f>O8*O13</x:f>
        <x:v>103326</x:v>
      </x:c>
      <x:c r="P15" s="11" t="n">
        <x:f>P8*P13</x:f>
        <x:v>109650</x:v>
      </x:c>
      <x:c r="Q15" s="11" t="n">
        <x:f>Q8*Q13</x:f>
        <x:v>117682.5</x:v>
      </x:c>
      <x:c r="R15" s="2"/>
      <x:c r="S15" s="43"/>
    </x:row>
    <x:row r="16" ht="27" customHeight="1">
      <x:c r="C16" s="26" t="str">
        <x:v>COGS</x:v>
      </x:c>
      <x:c r="D16" s="27" t="n">
        <x:f>SUM(F16:Q16)</x:f>
        <x:v>3703048.673</x:v>
      </x:c>
      <x:c r="E16" s="27"/>
      <x:c r="F16" s="27" t="n">
        <x:f>SUM(F14:F15)</x:f>
        <x:v>299250</x:v>
      </x:c>
      <x:c r="G16" s="27" t="n">
        <x:f>SUM(G14:G15)</x:f>
        <x:v>306010</x:v>
      </x:c>
      <x:c r="H16" s="27" t="n">
        <x:f>SUM(H14:H15)</x:f>
        <x:v>333975</x:v>
      </x:c>
      <x:c r="I16" s="27" t="n">
        <x:f>SUM(I14:I15)</x:f>
        <x:v>312984</x:v>
      </x:c>
      <x:c r="J16" s="27" t="n">
        <x:f>SUM(J14:J15)</x:f>
        <x:v>332852</x:v>
      </x:c>
      <x:c r="K16" s="27" t="n">
        <x:f>SUM(K14:K15)</x:f>
        <x:v>309542</x:v>
      </x:c>
      <x:c r="L16" s="27" t="n">
        <x:f>SUM(L14:L15)</x:f>
        <x:v>294019.08</x:v>
      </x:c>
      <x:c r="M16" s="27" t="n">
        <x:f>SUM(M14:M15)</x:f>
        <x:v>285431.394</x:v>
      </x:c>
      <x:c r="N16" s="27" t="n">
        <x:f>SUM(N14:N15)</x:f>
        <x:v>285285.83999999997</x:v>
      </x:c>
      <x:c r="O16" s="27" t="n">
        <x:f>SUM(O14:O15)</x:f>
        <x:v>294892.404</x:v>
      </x:c>
      <x:c r="P16" s="27" t="n">
        <x:f>SUM(P14:P15)</x:f>
        <x:v>312941.1</x:v>
      </x:c>
      <x:c r="Q16" s="27" t="n">
        <x:f>SUM(Q14:Q15)</x:f>
        <x:v>335865.855</x:v>
      </x:c>
      <x:c r="R16" s="2"/>
      <x:c r="S16" s="43" t="str">
        <x:v>Raw material cost + conversion cost.</x:v>
      </x:c>
    </x:row>
    <x:row r="17" ht="27" customHeight="1">
      <x:c r="C17" s="26" t="str">
        <x:v>Gross profit</x:v>
      </x:c>
      <x:c r="D17" s="27" t="n">
        <x:f>SUM(F17:Q17)</x:f>
        <x:v>3327887.7</x:v>
      </x:c>
      <x:c r="E17" s="27"/>
      <x:c r="F17" s="27" t="n">
        <x:f>F10-F16</x:f>
        <x:v>282150</x:v>
      </x:c>
      <x:c r="G17" s="27" t="n">
        <x:f>G10-G16</x:f>
        <x:v>275840</x:v>
      </x:c>
      <x:c r="H17" s="27" t="n">
        <x:f>H10-H16</x:f>
        <x:v>292800</x:v>
      </x:c>
      <x:c r="I17" s="27" t="n">
        <x:f>I10-I16</x:f>
        <x:v>278208</x:v>
      </x:c>
      <x:c r="J17" s="27" t="n">
        <x:f>J10-J16</x:f>
        <x:v>287872</x:v>
      </x:c>
      <x:c r="K17" s="27" t="n">
        <x:f>K10-K16</x:f>
        <x:v>263529</x:v>
      </x:c>
      <x:c r="L17" s="27" t="n">
        <x:f>L10-L16</x:f>
        <x:v>267851.99999999994</x:v>
      </x:c>
      <x:c r="M17" s="27" t="n">
        <x:f>M10-M16</x:f>
        <x:v>260028.59999999998</x:v>
      </x:c>
      <x:c r="N17" s="27" t="n">
        <x:f>N10-N16</x:f>
        <x:v>259896</x:v>
      </x:c>
      <x:c r="O17" s="27" t="n">
        <x:f>O10-O16</x:f>
        <x:v>268647.6</x:v>
      </x:c>
      <x:c r="P17" s="27" t="n">
        <x:f>P10-P16</x:f>
        <x:v>285090</x:v>
      </x:c>
      <x:c r="Q17" s="27" t="n">
        <x:f>Q10-Q16</x:f>
        <x:v>305974.5</x:v>
      </x:c>
      <x:c r="R17" s="2"/>
      <x:c r="S17" s="43"/>
    </x:row>
    <x:row r="18" ht="27" customHeight="1">
      <x:c r="C18" s="30" t="str">
        <x:v>Gross margin</x:v>
      </x:c>
      <x:c r="D18" s="31" t="n">
        <x:f>IF(D10=0,"n.a.",D17/D10)</x:f>
        <x:v>0.47332069634133783</x:v>
      </x:c>
      <x:c r="E18" s="31"/>
      <x:c r="F18" s="31" t="n">
        <x:f>IF(F10=0,"n.a.",F17/F10)</x:f>
        <x:v>0.4852941176470588</x:v>
      </x:c>
      <x:c r="G18" s="31" t="n">
        <x:f>IF(G10=0,"n.a.",G17/G10)</x:f>
        <x:v>0.4740740740740741</x:v>
      </x:c>
      <x:c r="H18" s="31" t="n">
        <x:f>IF(H10=0,"n.a.",H17/H10)</x:f>
        <x:v>0.46715328467153283</x:v>
      </x:c>
      <x:c r="I18" s="31" t="n">
        <x:f>IF(I10=0,"n.a.",I17/I10)</x:f>
        <x:v>0.47058823529411764</x:v>
      </x:c>
      <x:c r="J18" s="31" t="n">
        <x:f>IF(J10=0,"n.a.",J17/J10)</x:f>
        <x:v>0.463768115942029</x:v>
      </x:c>
      <x:c r="K18" s="31" t="n">
        <x:f>IF(K10=0,"n.a.",K17/K10)</x:f>
        <x:v>0.45985401459854014</x:v>
      </x:c>
      <x:c r="L18" s="31" t="n">
        <x:f>IF(L10=0,"n.a.",L17/L10)</x:f>
        <x:v>0.47671433810047664</x:v>
      </x:c>
      <x:c r="M18" s="31" t="n">
        <x:f>IF(M10=0,"n.a.",M17/M10)</x:f>
        <x:v>0.4767143381004767</x:v>
      </x:c>
      <x:c r="N18" s="31" t="n">
        <x:f>IF(N10=0,"n.a.",N17/N10)</x:f>
        <x:v>0.47671433810047675</x:v>
      </x:c>
      <x:c r="O18" s="31" t="n">
        <x:f>IF(O10=0,"n.a.",O17/O10)</x:f>
        <x:v>0.4767143381004767</x:v>
      </x:c>
      <x:c r="P18" s="31" t="n">
        <x:f>IF(P10=0,"n.a.",P17/P10)</x:f>
        <x:v>0.47671433810047675</x:v>
      </x:c>
      <x:c r="Q18" s="31" t="n">
        <x:f>IF(Q10=0,"n.a.",Q17/Q10)</x:f>
        <x:v>0.47671433810047675</x:v>
      </x:c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14" t="str">
        <x:v>Payroll and operating expenses</x:v>
      </x:c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2"/>
      <x:c r="S20" s="43"/>
    </x:row>
    <x:row r="21" ht="27" customHeight="1">
      <x:c r="C21" s="2" t="str">
        <x:v>Support payroll</x:v>
      </x:c>
      <x:c r="D21" s="11" t="n">
        <x:f>SUM(F21:Q21)</x:f>
        <x:v>2181942</x:v>
      </x:c>
      <x:c r="E21" s="11"/>
      <x:c r="F21" s="11" t="n">
        <x:f>'Actuals'!F12</x:f>
        <x:v>169680</x:v>
      </x:c>
      <x:c r="G21" s="11" t="n">
        <x:f>'Actuals'!G12</x:f>
        <x:v>173922</x:v>
      </x:c>
      <x:c r="H21" s="11" t="n">
        <x:f>'Actuals'!H12</x:f>
        <x:v>178164</x:v>
      </x:c>
      <x:c r="I21" s="11" t="n">
        <x:f>'Actuals'!I12</x:f>
        <x:v>182406</x:v>
      </x:c>
      <x:c r="J21" s="11" t="n">
        <x:f>'Actuals'!J12</x:f>
        <x:v>182406</x:v>
      </x:c>
      <x:c r="K21" s="11" t="n">
        <x:f>'Actuals'!K12</x:f>
        <x:v>178164</x:v>
      </x:c>
      <x:c r="L21" s="11" t="n">
        <x:f>'Headcount'!L31</x:f>
        <x:v>176400</x:v>
      </x:c>
      <x:c r="M21" s="11" t="n">
        <x:f>'Headcount'!M31</x:f>
        <x:v>180600</x:v>
      </x:c>
      <x:c r="N21" s="11" t="n">
        <x:f>'Headcount'!N31</x:f>
        <x:v>184800</x:v>
      </x:c>
      <x:c r="O21" s="11" t="n">
        <x:f>'Headcount'!O31</x:f>
        <x:v>189000</x:v>
      </x:c>
      <x:c r="P21" s="11" t="n">
        <x:f>'Headcount'!P31</x:f>
        <x:v>193200</x:v>
      </x:c>
      <x:c r="Q21" s="11" t="n">
        <x:f>'Headcount'!Q31</x:f>
        <x:v>193200</x:v>
      </x:c>
      <x:c r="R21" s="2"/>
      <x:c r="S21" s="43" t="str">
        <x:v>Support payroll is separate from production labor in COGS.</x:v>
      </x:c>
    </x:row>
    <x:row r="22" ht="27" customHeight="1">
      <x:c r="C22" s="2" t="str">
        <x:v>Fixed SG&amp;A</x:v>
      </x:c>
      <x:c r="D22" s="11"/>
      <x:c r="E22" s="11"/>
      <x:c r="F22" s="11"/>
      <x:c r="G22" s="11"/>
      <x:c r="H22" s="11"/>
      <x:c r="I22" s="11"/>
      <x:c r="J22" s="11"/>
      <x:c r="K22" s="11"/>
      <x:c r="L22" s="11" t="n">
        <x:f>'Assumptions'!L12*(1+'Assumptions'!L25)</x:f>
        <x:v>56100</x:v>
      </x:c>
      <x:c r="M22" s="11" t="n">
        <x:f>'Assumptions'!M12*(1+'Assumptions'!M25)</x:f>
        <x:v>56100</x:v>
      </x:c>
      <x:c r="N22" s="11" t="n">
        <x:f>'Assumptions'!N12*(1+'Assumptions'!N25)</x:f>
        <x:v>56100</x:v>
      </x:c>
      <x:c r="O22" s="11" t="n">
        <x:f>'Assumptions'!O12*(1+'Assumptions'!O25)</x:f>
        <x:v>56100</x:v>
      </x:c>
      <x:c r="P22" s="11" t="n">
        <x:f>'Assumptions'!P12*(1+'Assumptions'!P25)</x:f>
        <x:v>56100</x:v>
      </x:c>
      <x:c r="Q22" s="11" t="n">
        <x:f>'Assumptions'!Q12*(1+'Assumptions'!Q25)</x:f>
        <x:v>56100</x:v>
      </x:c>
      <x:c r="R22" s="2"/>
      <x:c r="S22" s="43" t="str">
        <x:v>Actual SG&amp;A is recorded as one amount; no invented split.</x:v>
      </x:c>
    </x:row>
    <x:row r="23" ht="27" customHeight="1">
      <x:c r="C23" s="2" t="str">
        <x:v>Variable SG&amp;A rate</x:v>
      </x:c>
      <x:c r="D23" s="11"/>
      <x:c r="E23" s="11"/>
      <x:c r="F23" s="20"/>
      <x:c r="G23" s="20"/>
      <x:c r="H23" s="20"/>
      <x:c r="I23" s="20"/>
      <x:c r="J23" s="20"/>
      <x:c r="K23" s="20"/>
      <x:c r="L23" s="20" t="n">
        <x:f>'Assumptions'!L13</x:f>
        <x:v>0.035</x:v>
      </x:c>
      <x:c r="M23" s="20" t="n">
        <x:f>'Assumptions'!M13</x:f>
        <x:v>0.035</x:v>
      </x:c>
      <x:c r="N23" s="20" t="n">
        <x:f>'Assumptions'!N13</x:f>
        <x:v>0.035</x:v>
      </x:c>
      <x:c r="O23" s="20" t="n">
        <x:f>'Assumptions'!O13</x:f>
        <x:v>0.035</x:v>
      </x:c>
      <x:c r="P23" s="20" t="n">
        <x:f>'Assumptions'!P13</x:f>
        <x:v>0.035</x:v>
      </x:c>
      <x:c r="Q23" s="20" t="n">
        <x:f>'Assumptions'!Q13</x:f>
        <x:v>0.035</x:v>
      </x:c>
      <x:c r="R23" s="2"/>
      <x:c r="S23" s="43"/>
    </x:row>
    <x:row r="24" ht="27" customHeight="1">
      <x:c r="C24" s="2" t="str">
        <x:v>Variable SG&amp;A</x:v>
      </x:c>
      <x:c r="D24" s="11"/>
      <x:c r="E24" s="11"/>
      <x:c r="F24" s="11"/>
      <x:c r="G24" s="11"/>
      <x:c r="H24" s="11"/>
      <x:c r="I24" s="11"/>
      <x:c r="J24" s="11"/>
      <x:c r="K24" s="11"/>
      <x:c r="L24" s="11" t="n">
        <x:f>L10*L23</x:f>
        <x:v>19665.4878</x:v>
      </x:c>
      <x:c r="M24" s="11" t="n">
        <x:f>M10*M23</x:f>
        <x:v>19091.09979</x:v>
      </x:c>
      <x:c r="N24" s="11" t="n">
        <x:f>N10*N23</x:f>
        <x:v>19081.364400000002</x:v>
      </x:c>
      <x:c r="O24" s="11" t="n">
        <x:f>O10*O23</x:f>
        <x:v>19723.90014</x:v>
      </x:c>
      <x:c r="P24" s="11" t="n">
        <x:f>P10*P23</x:f>
        <x:v>20931.0885</x:v>
      </x:c>
      <x:c r="Q24" s="11" t="n">
        <x:f>Q10*Q23</x:f>
        <x:v>22464.412425000002</x:v>
      </x:c>
      <x:c r="R24" s="2"/>
      <x:c r="S24" s="43"/>
    </x:row>
    <x:row r="25" ht="27" customHeight="1">
      <x:c r="C25" s="26" t="str">
        <x:v>Total SG&amp;A</x:v>
      </x:c>
      <x:c r="D25" s="27" t="n">
        <x:f>SUM(F25:Q25)</x:f>
        <x:v>919282.7730549999</x:v>
      </x:c>
      <x:c r="E25" s="27"/>
      <x:c r="F25" s="27" t="n">
        <x:f>'Actuals'!F13</x:f>
        <x:v>76449</x:v>
      </x:c>
      <x:c r="G25" s="27" t="n">
        <x:f>'Actuals'!G13</x:f>
        <x:v>76464.75</x:v>
      </x:c>
      <x:c r="H25" s="27" t="n">
        <x:f>'Actuals'!H13</x:f>
        <x:v>78037.125</x:v>
      </x:c>
      <x:c r="I25" s="27" t="n">
        <x:f>'Actuals'!I13</x:f>
        <x:v>76791.72</x:v>
      </x:c>
      <x:c r="J25" s="27" t="n">
        <x:f>'Actuals'!J13</x:f>
        <x:v>77825.34</x:v>
      </x:c>
      <x:c r="K25" s="27" t="n">
        <x:f>'Actuals'!K13</x:f>
        <x:v>76157.485</x:v>
      </x:c>
      <x:c r="L25" s="27" t="n">
        <x:f>L22+L24</x:f>
        <x:v>75765.4878</x:v>
      </x:c>
      <x:c r="M25" s="27" t="n">
        <x:f>M22+M24</x:f>
        <x:v>75191.09979000001</x:v>
      </x:c>
      <x:c r="N25" s="27" t="n">
        <x:f>N22+N24</x:f>
        <x:v>75181.3644</x:v>
      </x:c>
      <x:c r="O25" s="27" t="n">
        <x:f>O22+O24</x:f>
        <x:v>75823.90014</x:v>
      </x:c>
      <x:c r="P25" s="27" t="n">
        <x:f>P22+P24</x:f>
        <x:v>77031.0885</x:v>
      </x:c>
      <x:c r="Q25" s="27" t="n">
        <x:f>Q22+Q24</x:f>
        <x:v>78564.412425</x:v>
      </x:c>
      <x:c r="R25" s="2"/>
      <x:c r="S25" s="43"/>
    </x:row>
    <x:row r="26" ht="27" customHeight="1">
      <x:c r="C26" s="2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7" customHeight="1">
      <x:c r="C27" s="28" t="str">
        <x:v>EBITDA</x:v>
      </x:c>
      <x:c r="D27" s="32" t="n">
        <x:f>SUM(F27:Q27)</x:f>
        <x:v>226662.9269449999</x:v>
      </x:c>
      <x:c r="E27" s="32"/>
      <x:c r="F27" s="32" t="n">
        <x:f>F17-F21-F25</x:f>
        <x:v>36021</x:v>
      </x:c>
      <x:c r="G27" s="32" t="n">
        <x:f>G17-G21-G25</x:f>
        <x:v>25453.25</x:v>
      </x:c>
      <x:c r="H27" s="32" t="n">
        <x:f>H17-H21-H25</x:f>
        <x:v>36598.875</x:v>
      </x:c>
      <x:c r="I27" s="32" t="n">
        <x:f>I17-I21-I25</x:f>
        <x:v>19010.28</x:v>
      </x:c>
      <x:c r="J27" s="32" t="n">
        <x:f>J17-J21-J25</x:f>
        <x:v>27640.660000000003</x:v>
      </x:c>
      <x:c r="K27" s="32" t="n">
        <x:f>K17-K21-K25</x:f>
        <x:v>9207.515</x:v>
      </x:c>
      <x:c r="L27" s="32" t="n">
        <x:f>L17-L21-L25</x:f>
        <x:v>15686.51219999994</x:v>
      </x:c>
      <x:c r="M27" s="32" t="n">
        <x:f>M17-M21-M25</x:f>
        <x:v>4237.500209999969</x:v>
      </x:c>
      <x:c r="N27" s="32" t="n">
        <x:f>N17-N21-N25</x:f>
        <x:v>-85.36440000000584</x:v>
      </x:c>
      <x:c r="O27" s="32" t="n">
        <x:f>O17-O21-O25</x:f>
        <x:v>3823.699859999979</x:v>
      </x:c>
      <x:c r="P27" s="32" t="n">
        <x:f>P17-P21-P25</x:f>
        <x:v>14858.911500000002</x:v>
      </x:c>
      <x:c r="Q27" s="32" t="n">
        <x:f>Q17-Q21-Q25</x:f>
        <x:v>34210.087575</x:v>
      </x:c>
      <x:c r="R27" s="2"/>
      <x:c r="S27" s="43" t="str">
        <x:v>Gross profit − support payroll − SG&amp;A.</x:v>
      </x:c>
    </x:row>
    <x:row r="28" ht="27" customHeight="1">
      <x:c r="C28" s="30" t="str">
        <x:v>EBITDA margin</x:v>
      </x:c>
      <x:c r="D28" s="31" t="n">
        <x:f>IF(D10=0,"n.a.",D27/D10)</x:f>
        <x:v>0.03223794313022436</x:v>
      </x:c>
      <x:c r="E28" s="31"/>
      <x:c r="F28" s="31" t="n">
        <x:f>IF(F10=0,"n.a.",F27/F10)</x:f>
        <x:v>0.06195562435500516</x:v>
      </x:c>
      <x:c r="G28" s="31" t="n">
        <x:f>IF(G10=0,"n.a.",G27/G10)</x:f>
        <x:v>0.04374538111197044</x:v>
      </x:c>
      <x:c r="H28" s="31" t="n">
        <x:f>IF(H10=0,"n.a.",H27/H10)</x:f>
        <x:v>0.05839236568146464</x:v>
      </x:c>
      <x:c r="I28" s="31" t="n">
        <x:f>IF(I10=0,"n.a.",I27/I10)</x:f>
        <x:v>0.03215584784638493</x:v>
      </x:c>
      <x:c r="J28" s="31" t="n">
        <x:f>IF(J10=0,"n.a.",J27/J10)</x:f>
        <x:v>0.04452971046713194</x:v>
      </x:c>
      <x:c r="K28" s="31" t="n">
        <x:f>IF(K10=0,"n.a.",K27/K10)</x:f>
        <x:v>0.016066970759295095</x:v>
      </x:c>
      <x:c r="L28" s="31" t="n">
        <x:f>IF(L10=0,"n.a.",L27/L10)</x:f>
        <x:v>0.027918347746248018</x:v>
      </x:c>
      <x:c r="M28" s="31" t="n">
        <x:f>IF(M10=0,"n.a.",M27/M10)</x:f>
        <x:v>0.007768672783727507</x:v>
      </x:c>
      <x:c r="N28" s="31" t="n">
        <x:f>IF(N10=0,"n.a.",N27/N10)</x:f>
        <x:v>-0.0001565796835786127</x:v>
      </x:c>
      <x:c r="O28" s="31" t="n">
        <x:f>IF(O10=0,"n.a.",O27/O10)</x:f>
        <x:v>0.006785143615110559</x:v>
      </x:c>
      <x:c r="P28" s="31" t="n">
        <x:f>IF(P10=0,"n.a.",P27/P10)</x:f>
        <x:v>0.02484638591538133</x:v>
      </x:c>
      <x:c r="Q28" s="31" t="n">
        <x:f>IF(Q10=0,"n.a.",Q27/Q10)</x:f>
        <x:v>0.053299994786086644</x:v>
      </x:c>
      <x:c r="R28" s="2"/>
      <x:c r="S28" s="43"/>
    </x:row>
    <x:row r="29" ht="27" customHeight="1">
      <x:c r="C29" s="2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 t="str">
        <x:v>Contribution after variable SG&amp;A</x:v>
      </x:c>
      <x:c r="D30" s="11"/>
      <x:c r="E30" s="11"/>
      <x:c r="F30" s="11"/>
      <x:c r="G30" s="11"/>
      <x:c r="H30" s="11"/>
      <x:c r="I30" s="11"/>
      <x:c r="J30" s="11"/>
      <x:c r="K30" s="11"/>
      <x:c r="L30" s="11" t="n">
        <x:f>L17-L24</x:f>
        <x:v>248186.51219999994</x:v>
      </x:c>
      <x:c r="M30" s="11" t="n">
        <x:f>M17-M24</x:f>
        <x:v>240937.50020999997</x:v>
      </x:c>
      <x:c r="N30" s="11" t="n">
        <x:f>N17-N24</x:f>
        <x:v>240814.6356</x:v>
      </x:c>
      <x:c r="O30" s="11" t="n">
        <x:f>O17-O24</x:f>
        <x:v>248923.69985999996</x:v>
      </x:c>
      <x:c r="P30" s="11" t="n">
        <x:f>P17-P24</x:f>
        <x:v>264158.9115</x:v>
      </x:c>
      <x:c r="Q30" s="11" t="n">
        <x:f>Q17-Q24</x:f>
        <x:v>283510.087575</x:v>
      </x:c>
      <x:c r="R30" s="2"/>
      <x:c r="S30" s="43" t="str">
        <x:v>Forecast contribution only; actual variable SG&amp;A is not separately supplied.</x:v>
      </x:c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Variance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Budget YTD</x:v>
      </x:c>
      <x:c r="E5" s="9"/>
      <x:c r="F5" s="10" t="str">
        <x:v>Actual YTD</x:v>
      </x:c>
      <x:c r="G5" s="10" t="str">
        <x:v>A − B</x:v>
      </x:c>
      <x:c r="H5" s="10" t="str">
        <x:v>Variance %</x:v>
      </x:c>
      <x:c r="I5" s="10" t="str">
        <x:v>Assessment</x:v>
      </x:c>
      <x:c r="J5" s="10"/>
      <x:c r="K5" s="10"/>
      <x:c r="L5" s="10"/>
      <x:c r="M5" s="10"/>
      <x:c r="N5" s="10"/>
      <x:c r="O5" s="10"/>
      <x:c r="P5" s="10"/>
      <x:c r="Q5" s="10"/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2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2"/>
      <x:c r="S7" s="43"/>
    </x:row>
    <x:row r="8" ht="27" customHeight="1">
      <x:c r="C8" s="2" t="str">
        <x:v>Units sold</x:v>
      </x:c>
      <x:c r="D8" s="11" t="n">
        <x:f>SUM('Budget'!F8:K8)</x:f>
        <x:v>26241</x:v>
      </x:c>
      <x:c r="E8" s="11"/>
      <x:c r="F8" s="11" t="n">
        <x:f>SUM('Forecast'!F8:K8)</x:f>
        <x:v>26188</x:v>
      </x:c>
      <x:c r="G8" s="11" t="n">
        <x:f>F8-D8</x:f>
        <x:v>-53</x:v>
      </x:c>
      <x:c r="H8" s="20" t="n">
        <x:f>IF(D8=0,"n.a.",G8/ABS(D8))</x:f>
        <x:v>-0.0020197401013680883</x:v>
      </x:c>
      <x:c r="I8" s="11" t="str">
        <x:f>IF(ABS(G8)&lt;0.005,"On budget",IF(G8&gt;0,"Favorable","Unfavorable"))</x:f>
        <x:v>Unfavorable</x:v>
      </x:c>
      <x:c r="J8" s="11"/>
      <x:c r="K8" s="11"/>
      <x:c r="L8" s="11"/>
      <x:c r="M8" s="11"/>
      <x:c r="N8" s="11"/>
      <x:c r="O8" s="11"/>
      <x:c r="P8" s="11"/>
      <x:c r="Q8" s="11"/>
      <x:c r="R8" s="2"/>
      <x:c r="S8" s="43"/>
    </x:row>
    <x:row r="9" ht="27" customHeight="1">
      <x:c r="C9" s="2" t="str">
        <x:v>Revenue</x:v>
      </x:c>
      <x:c r="D9" s="11" t="n">
        <x:f>SUM('Budget'!F10:K10)</x:f>
        <x:v>3542535</x:v>
      </x:c>
      <x:c r="E9" s="11"/>
      <x:c r="F9" s="11" t="n">
        <x:f>SUM('Forecast'!F10:K10)</x:f>
        <x:v>3575012</x:v>
      </x:c>
      <x:c r="G9" s="11" t="n">
        <x:f>F9-D9</x:f>
        <x:v>32477</x:v>
      </x:c>
      <x:c r="H9" s="20" t="n">
        <x:f>IF(D9=0,"n.a.",G9/ABS(D9))</x:f>
        <x:v>0.009167728759207742</x:v>
      </x:c>
      <x:c r="I9" s="11" t="str">
        <x:f>IF(ABS(G9)&lt;0.005,"On budget",IF(G9&gt;0,"Favorable","Unfavorable"))</x:f>
        <x:v>Favorable</x:v>
      </x:c>
      <x:c r="J9" s="11"/>
      <x:c r="K9" s="11"/>
      <x:c r="L9" s="11"/>
      <x:c r="M9" s="11"/>
      <x:c r="N9" s="11"/>
      <x:c r="O9" s="11"/>
      <x:c r="P9" s="11"/>
      <x:c r="Q9" s="11"/>
      <x:c r="R9" s="2"/>
      <x:c r="S9" s="43"/>
    </x:row>
    <x:row r="10" ht="27" customHeight="1">
      <x:c r="C10" s="2" t="str">
        <x:v>COGS</x:v>
      </x:c>
      <x:c r="D10" s="11" t="n">
        <x:f>SUM('Budget'!F16:K16)</x:f>
        <x:v>1836870</x:v>
      </x:c>
      <x:c r="E10" s="11"/>
      <x:c r="F10" s="11" t="n">
        <x:f>SUM('Forecast'!F16:K16)</x:f>
        <x:v>1894613</x:v>
      </x:c>
      <x:c r="G10" s="11" t="n">
        <x:f>F10-D10</x:f>
        <x:v>57743</x:v>
      </x:c>
      <x:c r="H10" s="20" t="n">
        <x:f>IF(D10=0,"n.a.",G10/ABS(D10))</x:f>
        <x:v>0.03143553980412332</x:v>
      </x:c>
      <x:c r="I10" s="11" t="str">
        <x:f>IF(ABS(G10)&lt;0.005,"On budget",IF(G10&lt;0,"Favorable","Unfavorable"))</x:f>
        <x:v>Unfavorable</x:v>
      </x:c>
      <x:c r="J10" s="11"/>
      <x:c r="K10" s="11"/>
      <x:c r="L10" s="11"/>
      <x:c r="M10" s="11"/>
      <x:c r="N10" s="11"/>
      <x:c r="O10" s="11"/>
      <x:c r="P10" s="11"/>
      <x:c r="Q10" s="11"/>
      <x:c r="R10" s="2"/>
      <x:c r="S10" s="43"/>
    </x:row>
    <x:row r="11" ht="27" customHeight="1">
      <x:c r="C11" s="2" t="str">
        <x:v>Support payroll</x:v>
      </x:c>
      <x:c r="D11" s="11" t="n">
        <x:f>SUM('Budget'!F21:K21)</x:f>
        <x:v>1033200</x:v>
      </x:c>
      <x:c r="E11" s="11"/>
      <x:c r="F11" s="11" t="n">
        <x:f>SUM('Forecast'!F21:K21)</x:f>
        <x:v>1064742</x:v>
      </x:c>
      <x:c r="G11" s="11" t="n">
        <x:f>F11-D11</x:f>
        <x:v>31542</x:v>
      </x:c>
      <x:c r="H11" s="20" t="n">
        <x:f>IF(D11=0,"n.a.",G11/ABS(D11))</x:f>
        <x:v>0.030528455284552846</x:v>
      </x:c>
      <x:c r="I11" s="11" t="str">
        <x:f>IF(ABS(G11)&lt;0.005,"On budget",IF(G11&lt;0,"Favorable","Unfavorable"))</x:f>
        <x:v>Unfavorable</x:v>
      </x:c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SG&amp;A</x:v>
      </x:c>
      <x:c r="D12" s="11" t="n">
        <x:f>SUM('Budget'!F25:K25)</x:f>
        <x:v>453988.725</x:v>
      </x:c>
      <x:c r="E12" s="11"/>
      <x:c r="F12" s="11" t="n">
        <x:f>SUM('Forecast'!F25:K25)</x:f>
        <x:v>461725.4199999999</x:v>
      </x:c>
      <x:c r="G12" s="11" t="n">
        <x:f>F12-D12</x:f>
        <x:v>7736.694999999949</x:v>
      </x:c>
      <x:c r="H12" s="20" t="n">
        <x:f>IF(D12=0,"n.a.",G12/ABS(D12))</x:f>
        <x:v>0.017041601638895214</x:v>
      </x:c>
      <x:c r="I12" s="11" t="str">
        <x:f>IF(ABS(G12)&lt;0.005,"On budget",IF(G12&lt;0,"Favorable","Unfavorable"))</x:f>
        <x:v>Unfavorable</x:v>
      </x:c>
      <x:c r="J12" s="11"/>
      <x:c r="K12" s="11"/>
      <x:c r="L12" s="11"/>
      <x:c r="M12" s="11"/>
      <x:c r="N12" s="11"/>
      <x:c r="O12" s="11"/>
      <x:c r="P12" s="11"/>
      <x:c r="Q12" s="11"/>
      <x:c r="R12" s="2"/>
      <x:c r="S12" s="43"/>
    </x:row>
    <x:row r="13" ht="27" customHeight="1">
      <x:c r="C13" s="28" t="str">
        <x:v>EBITDA</x:v>
      </x:c>
      <x:c r="D13" s="29" t="n">
        <x:f>SUM('Budget'!F27:K27)</x:f>
        <x:v>218476.275</x:v>
      </x:c>
      <x:c r="E13" s="29"/>
      <x:c r="F13" s="29" t="n">
        <x:f>SUM('Forecast'!F27:K27)</x:f>
        <x:v>153931.58000000002</x:v>
      </x:c>
      <x:c r="G13" s="29" t="n">
        <x:f>F13-D13</x:f>
        <x:v>-64544.69499999998</x:v>
      </x:c>
      <x:c r="H13" s="38" t="n">
        <x:f>IF(D13=0,"n.a.",G13/ABS(D13))</x:f>
        <x:v>-0.29543114006314863</x:v>
      </x:c>
      <x:c r="I13" s="29" t="str">
        <x:f>IF(ABS(G13)&lt;0.005,"On budget",IF(G13&gt;0,"Favorable","Unfavorable"))</x:f>
        <x:v>Unfavorable</x:v>
      </x:c>
      <x:c r="J13" s="29"/>
      <x:c r="K13" s="29"/>
      <x:c r="L13" s="29"/>
      <x:c r="M13" s="29"/>
      <x:c r="N13" s="29"/>
      <x:c r="O13" s="29"/>
      <x:c r="P13" s="29"/>
      <x:c r="Q13" s="29"/>
      <x:c r="R13" s="2"/>
      <x:c r="S13" s="43"/>
    </x:row>
    <x:row r="14" ht="27" customHeight="1">
      <x:c r="C14" s="2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2"/>
      <x:c r="S14" s="43"/>
    </x:row>
    <x:row r="15" ht="27" customHeight="1">
      <x:c r="C15" s="2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2"/>
      <x:c r="S15" s="43"/>
    </x:row>
    <x:row r="16" ht="27" customHeight="1">
      <x:c r="C16" s="2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2"/>
      <x:c r="S16" s="43"/>
    </x:row>
    <x:row r="17" ht="27" customHeight="1">
      <x:c r="C17" s="14" t="str">
        <x:v>January–June EBITDA bridge</x:v>
      </x:c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2"/>
      <x:c r="S17" s="43"/>
    </x:row>
    <x:row r="18" ht="27" customHeight="1">
      <x:c r="C18" s="2" t="str">
        <x:v>Budget EBITDA</x:v>
      </x:c>
      <x:c r="D18" s="11" t="n">
        <x:f>D13</x:f>
        <x:v>218476.275</x:v>
      </x:c>
      <x:c r="E18" s="11"/>
      <x:c r="F18" s="41" t="str">
        <x:v>Jan-27</x:v>
      </x:c>
      <x:c r="G18" s="41" t="str">
        <x:v>Feb-27</x:v>
      </x:c>
      <x:c r="H18" s="41" t="str">
        <x:v>Mar-27</x:v>
      </x:c>
      <x:c r="I18" s="41" t="str">
        <x:v>Apr-27</x:v>
      </x:c>
      <x:c r="J18" s="41" t="str">
        <x:v>May-27</x:v>
      </x:c>
      <x:c r="K18" s="41" t="str">
        <x:v>Jun-27</x:v>
      </x:c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" t="str">
        <x:v>Unit volume effect</x:v>
      </x:c>
      <x:c r="D19" s="11" t="n">
        <x:f>SUM(F19:Q19)</x:f>
        <x:v>-3445</x:v>
      </x:c>
      <x:c r="E19" s="11"/>
      <x:c r="F19" s="11" t="n">
        <x:f>('Forecast'!F8-'Budget'!F8)*('Budget'!F9-'Budget'!F12-'Budget'!F13)</x:f>
        <x:v>8125</x:v>
      </x:c>
      <x:c r="G19" s="11" t="n">
        <x:f>('Forecast'!G8-'Budget'!G8)*('Budget'!G9-'Budget'!G12-'Budget'!G13)</x:f>
        <x:v>-5720</x:v>
      </x:c>
      <x:c r="H19" s="11" t="n">
        <x:f>('Forecast'!H8-'Budget'!H8)*('Budget'!H9-'Budget'!H12-'Budget'!H13)</x:f>
        <x:v>2925</x:v>
      </x:c>
      <x:c r="I19" s="11" t="n">
        <x:f>('Forecast'!I8-'Budget'!I8)*('Budget'!I9-'Budget'!I12-'Budget'!I13)</x:f>
        <x:v>-11765</x:v>
      </x:c>
      <x:c r="J19" s="11" t="n">
        <x:f>('Forecast'!J8-'Budget'!J8)*('Budget'!J9-'Budget'!J12-'Budget'!J13)</x:f>
        <x:v>5720</x:v>
      </x:c>
      <x:c r="K19" s="11" t="n">
        <x:f>('Forecast'!K8-'Budget'!K8)*('Budget'!K9-'Budget'!K12-'Budget'!K13)</x:f>
        <x:v>-2730</x:v>
      </x:c>
      <x:c r="L19" s="11"/>
      <x:c r="M19" s="11"/>
      <x:c r="N19" s="11"/>
      <x:c r="O19" s="11"/>
      <x:c r="P19" s="11"/>
      <x:c r="Q19" s="11"/>
      <x:c r="R19" s="2"/>
      <x:c r="S19" s="43" t="str">
        <x:v>Volume effect holds budget price and production unit costs constant.</x:v>
      </x:c>
    </x:row>
    <x:row r="20" ht="27" customHeight="1">
      <x:c r="C20" s="2" t="str">
        <x:v>Selling price effect</x:v>
      </x:c>
      <x:c r="D20" s="11" t="n">
        <x:f>SUM(F20:Q20)</x:f>
        <x:v>39632</x:v>
      </x:c>
      <x:c r="E20" s="11"/>
      <x:c r="F20" s="11" t="n">
        <x:f>'Forecast'!F8*('Forecast'!F9-'Budget'!F9)</x:f>
        <x:v>4275</x:v>
      </x:c>
      <x:c r="G20" s="11" t="n">
        <x:f>'Forecast'!G8*('Forecast'!G9-'Budget'!G9)</x:f>
        <x:v>0</x:v>
      </x:c>
      <x:c r="H20" s="11" t="n">
        <x:f>'Forecast'!H8*('Forecast'!H9-'Budget'!H9)</x:f>
        <x:v>9150</x:v>
      </x:c>
      <x:c r="I20" s="11" t="n">
        <x:f>'Forecast'!I8*('Forecast'!I9-'Budget'!I9)</x:f>
        <x:v>4347</x:v>
      </x:c>
      <x:c r="J20" s="11" t="n">
        <x:f>'Forecast'!J8*('Forecast'!J9-'Budget'!J9)</x:f>
        <x:v>13494</x:v>
      </x:c>
      <x:c r="K20" s="11" t="n">
        <x:f>'Forecast'!K8*('Forecast'!K9-'Budget'!K9)</x:f>
        <x:v>8366</x:v>
      </x:c>
      <x:c r="L20" s="11"/>
      <x:c r="M20" s="11"/>
      <x:c r="N20" s="11"/>
      <x:c r="O20" s="11"/>
      <x:c r="P20" s="11"/>
      <x:c r="Q20" s="11"/>
      <x:c r="R20" s="2"/>
      <x:c r="S20" s="43" t="str">
        <x:v>Price effect uses actual units; interaction is included here.</x:v>
      </x:c>
    </x:row>
    <x:row r="21" ht="27" customHeight="1">
      <x:c r="C21" s="2" t="str">
        <x:v>Raw-material unit cost effect</x:v>
      </x:c>
      <x:c r="D21" s="11" t="n">
        <x:f>SUM(F21:Q21)</x:f>
        <x:v>-39667</x:v>
      </x:c>
      <x:c r="E21" s="11"/>
      <x:c r="F21" s="11" t="n">
        <x:f>-'Forecast'!F8*('Forecast'!F12-'Budget'!F12)</x:f>
        <x:v>0</x:v>
      </x:c>
      <x:c r="G21" s="11" t="n">
        <x:f>-'Forecast'!G8*('Forecast'!G12-'Budget'!G12)</x:f>
        <x:v>-4310</x:v>
      </x:c>
      <x:c r="H21" s="11" t="n">
        <x:f>-'Forecast'!H8*('Forecast'!H12-'Budget'!H12)</x:f>
        <x:v>-9150</x:v>
      </x:c>
      <x:c r="I21" s="11" t="n">
        <x:f>-'Forecast'!I8*('Forecast'!I12-'Budget'!I12)</x:f>
        <x:v>-4347</x:v>
      </x:c>
      <x:c r="J21" s="11" t="n">
        <x:f>-'Forecast'!J8*('Forecast'!J12-'Budget'!J12)</x:f>
        <x:v>-13494</x:v>
      </x:c>
      <x:c r="K21" s="11" t="n">
        <x:f>-'Forecast'!K8*('Forecast'!K12-'Budget'!K12)</x:f>
        <x:v>-8366</x:v>
      </x:c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2" t="str">
        <x:v>Conversion unit cost effect</x:v>
      </x:c>
      <x:c r="D22" s="11" t="n">
        <x:f>SUM(F22:Q22)</x:f>
        <x:v>-21786</x:v>
      </x:c>
      <x:c r="E22" s="11"/>
      <x:c r="F22" s="11" t="n">
        <x:f>-'Forecast'!F8*('Forecast'!F13-'Budget'!F13)</x:f>
        <x:v>0</x:v>
      </x:c>
      <x:c r="G22" s="11" t="n">
        <x:f>-'Forecast'!G8*('Forecast'!G13-'Budget'!G13)</x:f>
        <x:v>0</x:v>
      </x:c>
      <x:c r="H22" s="11" t="n">
        <x:f>-'Forecast'!H8*('Forecast'!H13-'Budget'!H13)</x:f>
        <x:v>-4575</x:v>
      </x:c>
      <x:c r="I22" s="11" t="n">
        <x:f>-'Forecast'!I8*('Forecast'!I13-'Budget'!I13)</x:f>
        <x:v>-4347</x:v>
      </x:c>
      <x:c r="J22" s="11" t="n">
        <x:f>-'Forecast'!J8*('Forecast'!J13-'Budget'!J13)</x:f>
        <x:v>-4498</x:v>
      </x:c>
      <x:c r="K22" s="11" t="n">
        <x:f>-'Forecast'!K8*('Forecast'!K13-'Budget'!K13)</x:f>
        <x:v>-8366</x:v>
      </x:c>
      <x:c r="L22" s="11"/>
      <x:c r="M22" s="11"/>
      <x:c r="N22" s="11"/>
      <x:c r="O22" s="11"/>
      <x:c r="P22" s="11"/>
      <x:c r="Q22" s="11"/>
      <x:c r="R22" s="2"/>
      <x:c r="S22" s="43"/>
    </x:row>
    <x:row r="23" ht="27" customHeight="1">
      <x:c r="C23" s="2" t="str">
        <x:v>Support payroll effect</x:v>
      </x:c>
      <x:c r="D23" s="11" t="n">
        <x:f>SUM(F23:Q23)</x:f>
        <x:v>-31542</x:v>
      </x:c>
      <x:c r="E23" s="11"/>
      <x:c r="F23" s="11" t="n">
        <x:f>'Budget'!F21-'Forecast'!F21</x:f>
        <x:v>-1680</x:v>
      </x:c>
      <x:c r="G23" s="11" t="n">
        <x:f>'Budget'!G21-'Forecast'!G21</x:f>
        <x:v>-5922</x:v>
      </x:c>
      <x:c r="H23" s="11" t="n">
        <x:f>'Budget'!H21-'Forecast'!H21</x:f>
        <x:v>-5964</x:v>
      </x:c>
      <x:c r="I23" s="11" t="n">
        <x:f>'Budget'!I21-'Forecast'!I21</x:f>
        <x:v>-6006</x:v>
      </x:c>
      <x:c r="J23" s="11" t="n">
        <x:f>'Budget'!J21-'Forecast'!J21</x:f>
        <x:v>-6006</x:v>
      </x:c>
      <x:c r="K23" s="11" t="n">
        <x:f>'Budget'!K21-'Forecast'!K21</x:f>
        <x:v>-5964</x:v>
      </x:c>
      <x:c r="L23" s="11"/>
      <x:c r="M23" s="11"/>
      <x:c r="N23" s="11"/>
      <x:c r="O23" s="11"/>
      <x:c r="P23" s="11"/>
      <x:c r="Q23" s="11"/>
      <x:c r="R23" s="2"/>
      <x:c r="S23" s="43"/>
    </x:row>
    <x:row r="24" ht="27" customHeight="1">
      <x:c r="C24" s="2" t="str">
        <x:v>SG&amp;A effect</x:v>
      </x:c>
      <x:c r="D24" s="11" t="n">
        <x:f>SUM(F24:Q24)</x:f>
        <x:v>-7736.694999999992</x:v>
      </x:c>
      <x:c r="E24" s="11"/>
      <x:c r="F24" s="11" t="n">
        <x:f>'Budget'!F25-'Forecast'!F25</x:f>
        <x:v>-1840.25</x:v>
      </x:c>
      <x:c r="G24" s="11" t="n">
        <x:f>'Budget'!G25-'Forecast'!G25</x:f>
        <x:v>-684.1999999999971</x:v>
      </x:c>
      <x:c r="H24" s="11" t="n">
        <x:f>'Budget'!H25-'Forecast'!H25</x:f>
        <x:v>-1632.875</x:v>
      </x:c>
      <x:c r="I24" s="11" t="n">
        <x:f>'Budget'!I25-'Forecast'!I25</x:f>
        <x:v>-396.91999999999825</x:v>
      </x:c>
      <x:c r="J24" s="11" t="n">
        <x:f>'Budget'!J25-'Forecast'!J25</x:f>
        <x:v>-1988.0899999999965</x:v>
      </x:c>
      <x:c r="K24" s="11" t="n">
        <x:f>'Budget'!K25-'Forecast'!K25</x:f>
        <x:v>-1194.3600000000006</x:v>
      </x:c>
      <x:c r="L24" s="11"/>
      <x:c r="M24" s="11"/>
      <x:c r="N24" s="11"/>
      <x:c r="O24" s="11"/>
      <x:c r="P24" s="11"/>
      <x:c r="Q24" s="11"/>
      <x:c r="R24" s="2"/>
      <x:c r="S24" s="43" t="str">
        <x:v>Total SG&amp;A difference; actual fixed/variable split is unavailable.</x:v>
      </x:c>
    </x:row>
    <x:row r="25" ht="27" customHeight="1">
      <x:c r="C25" s="26" t="str">
        <x:v>Total EBITDA change</x:v>
      </x:c>
      <x:c r="D25" s="27" t="n">
        <x:f>SUM(D19:D24)</x:f>
        <x:v>-64544.69499999999</x:v>
      </x:c>
      <x:c r="E25" s="27"/>
      <x:c r="F25" s="27"/>
      <x:c r="G25" s="27"/>
      <x:c r="H25" s="27"/>
      <x:c r="I25" s="27"/>
      <x:c r="J25" s="27"/>
      <x:c r="K25" s="27"/>
      <x:c r="L25" s="27"/>
      <x:c r="M25" s="27"/>
      <x:c r="N25" s="27"/>
      <x:c r="O25" s="27"/>
      <x:c r="P25" s="27"/>
      <x:c r="Q25" s="27"/>
      <x:c r="R25" s="2"/>
      <x:c r="S25" s="43"/>
    </x:row>
    <x:row r="26" ht="27" customHeight="1">
      <x:c r="C26" s="26" t="str">
        <x:v>Actual EBITDA</x:v>
      </x:c>
      <x:c r="D26" s="27" t="n">
        <x:f>D18+D25</x:f>
        <x:v>153931.58000000002</x:v>
      </x:c>
      <x:c r="E26" s="27"/>
      <x:c r="F26" s="27"/>
      <x:c r="G26" s="27"/>
      <x:c r="H26" s="27"/>
      <x:c r="I26" s="27"/>
      <x:c r="J26" s="27"/>
      <x:c r="K26" s="27"/>
      <x:c r="L26" s="27"/>
      <x:c r="M26" s="27"/>
      <x:c r="N26" s="27"/>
      <x:c r="O26" s="27"/>
      <x:c r="P26" s="27"/>
      <x:c r="Q26" s="27"/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7" customHeight="1">
      <x:c r="C29" s="2" t="str">
        <x:v>Only January–June is compared. Positive bridge amounts increase EBITDA; negative amounts reduce it.</x:v>
      </x:c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Headcount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14" t="str">
        <x:v>Budget support staff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Opening FTE</x:v>
      </x:c>
      <x:c r="D8" s="17" t="n">
        <x:v>20</x:v>
      </x:c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2"/>
      <x:c r="S8" s="43"/>
    </x:row>
    <x:row r="9" ht="27" customHeight="1">
      <x:c r="C9" s="2" t="str">
        <x:v>Opening FTE</x:v>
      </x:c>
      <x:c r="D9" s="11"/>
      <x:c r="E9" s="11"/>
      <x:c r="F9" s="11" t="n">
        <x:f>$D$8</x:f>
        <x:v>20</x:v>
      </x:c>
      <x:c r="G9" s="11" t="n">
        <x:f>F12</x:f>
        <x:v>20</x:v>
      </x:c>
      <x:c r="H9" s="11" t="n">
        <x:f>G12</x:f>
        <x:v>20</x:v>
      </x:c>
      <x:c r="I9" s="11" t="n">
        <x:f>H12</x:f>
        <x:v>21</x:v>
      </x:c>
      <x:c r="J9" s="11" t="n">
        <x:f>I12</x:f>
        <x:v>21</x:v>
      </x:c>
      <x:c r="K9" s="11" t="n">
        <x:f>J12</x:f>
        <x:v>21</x:v>
      </x:c>
      <x:c r="L9" s="11" t="n">
        <x:f>K12</x:f>
        <x:v>20</x:v>
      </x:c>
      <x:c r="M9" s="11" t="n">
        <x:f>L12</x:f>
        <x:v>20</x:v>
      </x:c>
      <x:c r="N9" s="11" t="n">
        <x:f>M12</x:f>
        <x:v>20</x:v>
      </x:c>
      <x:c r="O9" s="11" t="n">
        <x:f>N12</x:f>
        <x:v>21</x:v>
      </x:c>
      <x:c r="P9" s="11" t="n">
        <x:f>O12</x:f>
        <x:v>21</x:v>
      </x:c>
      <x:c r="Q9" s="11" t="n">
        <x:f>P12</x:f>
        <x:v>21</x:v>
      </x:c>
      <x:c r="R9" s="2"/>
      <x:c r="S9" s="43"/>
    </x:row>
    <x:row r="10" ht="27" customHeight="1">
      <x:c r="C10" s="2" t="str">
        <x:v>Hires</x:v>
      </x:c>
      <x:c r="D10" s="11" t="n">
        <x:f>SUM(F10:Q10)</x:f>
        <x:v>2</x:v>
      </x:c>
      <x:c r="E10" s="11"/>
      <x:c r="F10" s="17" t="n">
        <x:v>0</x:v>
      </x:c>
      <x:c r="G10" s="17" t="n">
        <x:v>0</x:v>
      </x:c>
      <x:c r="H10" s="17" t="n">
        <x:v>1</x:v>
      </x:c>
      <x:c r="I10" s="17" t="n">
        <x:v>0</x:v>
      </x:c>
      <x:c r="J10" s="17" t="n">
        <x:v>0</x:v>
      </x:c>
      <x:c r="K10" s="17" t="n">
        <x:v>0</x:v>
      </x:c>
      <x:c r="L10" s="17" t="n">
        <x:v>0</x:v>
      </x:c>
      <x:c r="M10" s="17" t="n">
        <x:v>0</x:v>
      </x:c>
      <x:c r="N10" s="17" t="n">
        <x:v>1</x:v>
      </x:c>
      <x:c r="O10" s="17" t="n">
        <x:v>0</x:v>
      </x:c>
      <x:c r="P10" s="17" t="n">
        <x:v>0</x:v>
      </x:c>
      <x:c r="Q10" s="17" t="n">
        <x:v>0</x:v>
      </x:c>
      <x:c r="R10" s="2"/>
      <x:c r="S10" s="43"/>
    </x:row>
    <x:row r="11" ht="27" customHeight="1">
      <x:c r="C11" s="2" t="str">
        <x:v>Exits</x:v>
      </x:c>
      <x:c r="D11" s="11" t="n">
        <x:f>SUM(F11:Q11)</x:f>
        <x:v>1</x:v>
      </x:c>
      <x:c r="E11" s="11"/>
      <x:c r="F11" s="17" t="n">
        <x:v>0</x:v>
      </x:c>
      <x:c r="G11" s="17" t="n">
        <x:v>0</x:v>
      </x:c>
      <x:c r="H11" s="17" t="n">
        <x:v>0</x:v>
      </x:c>
      <x:c r="I11" s="17" t="n">
        <x:v>0</x:v>
      </x:c>
      <x:c r="J11" s="17" t="n">
        <x:v>0</x:v>
      </x:c>
      <x:c r="K11" s="17" t="n">
        <x:v>1</x:v>
      </x:c>
      <x:c r="L11" s="17" t="n">
        <x:v>0</x:v>
      </x:c>
      <x:c r="M11" s="17" t="n">
        <x:v>0</x:v>
      </x:c>
      <x:c r="N11" s="17" t="n">
        <x:v>0</x:v>
      </x:c>
      <x:c r="O11" s="17" t="n">
        <x:v>0</x:v>
      </x:c>
      <x:c r="P11" s="17" t="n">
        <x:v>0</x:v>
      </x:c>
      <x:c r="Q11" s="17" t="n">
        <x:v>0</x:v>
      </x:c>
      <x:c r="R11" s="2"/>
      <x:c r="S11" s="43"/>
    </x:row>
    <x:row r="12" ht="27" customHeight="1">
      <x:c r="C12" s="2" t="str">
        <x:v>Ending FTE</x:v>
      </x:c>
      <x:c r="D12" s="11" t="n">
        <x:f>Q12</x:f>
        <x:v>21</x:v>
      </x:c>
      <x:c r="E12" s="11"/>
      <x:c r="F12" s="11" t="n">
        <x:f>F9+F10-F11</x:f>
        <x:v>20</x:v>
      </x:c>
      <x:c r="G12" s="11" t="n">
        <x:f>G9+G10-G11</x:f>
        <x:v>20</x:v>
      </x:c>
      <x:c r="H12" s="11" t="n">
        <x:f>H9+H10-H11</x:f>
        <x:v>21</x:v>
      </x:c>
      <x:c r="I12" s="11" t="n">
        <x:f>I9+I10-I11</x:f>
        <x:v>21</x:v>
      </x:c>
      <x:c r="J12" s="11" t="n">
        <x:f>J9+J10-J11</x:f>
        <x:v>21</x:v>
      </x:c>
      <x:c r="K12" s="11" t="n">
        <x:f>K9+K10-K11</x:f>
        <x:v>20</x:v>
      </x:c>
      <x:c r="L12" s="11" t="n">
        <x:f>L9+L10-L11</x:f>
        <x:v>20</x:v>
      </x:c>
      <x:c r="M12" s="11" t="n">
        <x:f>M9+M10-M11</x:f>
        <x:v>20</x:v>
      </x:c>
      <x:c r="N12" s="11" t="n">
        <x:f>N9+N10-N11</x:f>
        <x:v>21</x:v>
      </x:c>
      <x:c r="O12" s="11" t="n">
        <x:f>O9+O10-O11</x:f>
        <x:v>21</x:v>
      </x:c>
      <x:c r="P12" s="11" t="n">
        <x:f>P9+P10-P11</x:f>
        <x:v>21</x:v>
      </x:c>
      <x:c r="Q12" s="11" t="n">
        <x:f>Q9+Q10-Q11</x:f>
        <x:v>21</x:v>
      </x:c>
      <x:c r="R12" s="2"/>
      <x:c r="S12" s="43"/>
    </x:row>
    <x:row r="13" ht="27" customHeight="1">
      <x:c r="C13" s="2" t="str">
        <x:v>Average paid FTE</x:v>
      </x:c>
      <x:c r="D13" s="23" t="n">
        <x:f>AVERAGE(F13:Q13)</x:f>
        <x:v>20.541666666666668</x:v>
      </x:c>
      <x:c r="E13" s="23"/>
      <x:c r="F13" s="23" t="n">
        <x:f>(F9+F12)/2</x:f>
        <x:v>20</x:v>
      </x:c>
      <x:c r="G13" s="23" t="n">
        <x:f>(G9+G12)/2</x:f>
        <x:v>20</x:v>
      </x:c>
      <x:c r="H13" s="23" t="n">
        <x:f>(H9+H12)/2</x:f>
        <x:v>20.5</x:v>
      </x:c>
      <x:c r="I13" s="23" t="n">
        <x:f>(I9+I12)/2</x:f>
        <x:v>21</x:v>
      </x:c>
      <x:c r="J13" s="23" t="n">
        <x:f>(J9+J12)/2</x:f>
        <x:v>21</x:v>
      </x:c>
      <x:c r="K13" s="23" t="n">
        <x:f>(K9+K12)/2</x:f>
        <x:v>20.5</x:v>
      </x:c>
      <x:c r="L13" s="23" t="n">
        <x:f>(L9+L12)/2</x:f>
        <x:v>20</x:v>
      </x:c>
      <x:c r="M13" s="23" t="n">
        <x:f>(M9+M12)/2</x:f>
        <x:v>20</x:v>
      </x:c>
      <x:c r="N13" s="23" t="n">
        <x:f>(N9+N12)/2</x:f>
        <x:v>20.5</x:v>
      </x:c>
      <x:c r="O13" s="23" t="n">
        <x:f>(O9+O12)/2</x:f>
        <x:v>21</x:v>
      </x:c>
      <x:c r="P13" s="23" t="n">
        <x:f>(P9+P12)/2</x:f>
        <x:v>21</x:v>
      </x:c>
      <x:c r="Q13" s="23" t="n">
        <x:f>(Q9+Q12)/2</x:f>
        <x:v>21</x:v>
      </x:c>
      <x:c r="R13" s="2"/>
      <x:c r="S13" s="43" t="str">
        <x:v>Average of opening and ending FTE; hires/exits assumed mid-month.</x:v>
      </x:c>
    </x:row>
    <x:row r="14" ht="27" customHeight="1">
      <x:c r="C14" s="2" t="str">
        <x:v>Annual salary / FTE</x:v>
      </x:c>
      <x:c r="D14" s="11"/>
      <x:c r="E14" s="11"/>
      <x:c r="F14" s="11" t="n">
        <x:f>'Assumptions'!F14</x:f>
        <x:v>84000</x:v>
      </x:c>
      <x:c r="G14" s="11" t="n">
        <x:f>'Assumptions'!G14</x:f>
        <x:v>84000</x:v>
      </x:c>
      <x:c r="H14" s="11" t="n">
        <x:f>'Assumptions'!H14</x:f>
        <x:v>84000</x:v>
      </x:c>
      <x:c r="I14" s="11" t="n">
        <x:f>'Assumptions'!I14</x:f>
        <x:v>84000</x:v>
      </x:c>
      <x:c r="J14" s="11" t="n">
        <x:f>'Assumptions'!J14</x:f>
        <x:v>84000</x:v>
      </x:c>
      <x:c r="K14" s="11" t="n">
        <x:f>'Assumptions'!K14</x:f>
        <x:v>84000</x:v>
      </x:c>
      <x:c r="L14" s="11" t="n">
        <x:f>'Assumptions'!L14</x:f>
        <x:v>84000</x:v>
      </x:c>
      <x:c r="M14" s="11" t="n">
        <x:f>'Assumptions'!M14</x:f>
        <x:v>84000</x:v>
      </x:c>
      <x:c r="N14" s="11" t="n">
        <x:f>'Assumptions'!N14</x:f>
        <x:v>84000</x:v>
      </x:c>
      <x:c r="O14" s="11" t="n">
        <x:f>'Assumptions'!O14</x:f>
        <x:v>84000</x:v>
      </x:c>
      <x:c r="P14" s="11" t="n">
        <x:f>'Assumptions'!P14</x:f>
        <x:v>84000</x:v>
      </x:c>
      <x:c r="Q14" s="11" t="n">
        <x:f>'Assumptions'!Q14</x:f>
        <x:v>84000</x:v>
      </x:c>
      <x:c r="R14" s="2"/>
      <x:c r="S14" s="43"/>
    </x:row>
    <x:row r="15" ht="27" customHeight="1">
      <x:c r="C15" s="2" t="str">
        <x:v>Payroll burden</x:v>
      </x:c>
      <x:c r="D15" s="11"/>
      <x:c r="E15" s="11"/>
      <x:c r="F15" s="20" t="n">
        <x:f>'Assumptions'!F15</x:f>
        <x:v>0.2</x:v>
      </x:c>
      <x:c r="G15" s="20" t="n">
        <x:f>'Assumptions'!G15</x:f>
        <x:v>0.2</x:v>
      </x:c>
      <x:c r="H15" s="20" t="n">
        <x:f>'Assumptions'!H15</x:f>
        <x:v>0.2</x:v>
      </x:c>
      <x:c r="I15" s="20" t="n">
        <x:f>'Assumptions'!I15</x:f>
        <x:v>0.2</x:v>
      </x:c>
      <x:c r="J15" s="20" t="n">
        <x:f>'Assumptions'!J15</x:f>
        <x:v>0.2</x:v>
      </x:c>
      <x:c r="K15" s="20" t="n">
        <x:f>'Assumptions'!K15</x:f>
        <x:v>0.2</x:v>
      </x:c>
      <x:c r="L15" s="20" t="n">
        <x:f>'Assumptions'!L15</x:f>
        <x:v>0.2</x:v>
      </x:c>
      <x:c r="M15" s="20" t="n">
        <x:f>'Assumptions'!M15</x:f>
        <x:v>0.2</x:v>
      </x:c>
      <x:c r="N15" s="20" t="n">
        <x:f>'Assumptions'!N15</x:f>
        <x:v>0.2</x:v>
      </x:c>
      <x:c r="O15" s="20" t="n">
        <x:f>'Assumptions'!O15</x:f>
        <x:v>0.2</x:v>
      </x:c>
      <x:c r="P15" s="20" t="n">
        <x:f>'Assumptions'!P15</x:f>
        <x:v>0.2</x:v>
      </x:c>
      <x:c r="Q15" s="20" t="n">
        <x:f>'Assumptions'!Q15</x:f>
        <x:v>0.2</x:v>
      </x:c>
      <x:c r="R15" s="2"/>
      <x:c r="S15" s="43"/>
    </x:row>
    <x:row r="16" ht="27" customHeight="1">
      <x:c r="C16" s="28" t="str">
        <x:v>Payroll expense</x:v>
      </x:c>
      <x:c r="D16" s="29" t="n">
        <x:f>SUM(F16:Q16)</x:f>
        <x:v>2070600</x:v>
      </x:c>
      <x:c r="E16" s="29"/>
      <x:c r="F16" s="29" t="n">
        <x:f>F13*F14/'Assumptions'!$D$35*(1+F15)</x:f>
        <x:v>168000</x:v>
      </x:c>
      <x:c r="G16" s="29" t="n">
        <x:f>G13*G14/'Assumptions'!$D$35*(1+G15)</x:f>
        <x:v>168000</x:v>
      </x:c>
      <x:c r="H16" s="29" t="n">
        <x:f>H13*H14/'Assumptions'!$D$35*(1+H15)</x:f>
        <x:v>172200</x:v>
      </x:c>
      <x:c r="I16" s="29" t="n">
        <x:f>I13*I14/'Assumptions'!$D$35*(1+I15)</x:f>
        <x:v>176400</x:v>
      </x:c>
      <x:c r="J16" s="29" t="n">
        <x:f>J13*J14/'Assumptions'!$D$35*(1+J15)</x:f>
        <x:v>176400</x:v>
      </x:c>
      <x:c r="K16" s="29" t="n">
        <x:f>K13*K14/'Assumptions'!$D$35*(1+K15)</x:f>
        <x:v>172200</x:v>
      </x:c>
      <x:c r="L16" s="29" t="n">
        <x:f>L13*L14/'Assumptions'!$D$35*(1+L15)</x:f>
        <x:v>168000</x:v>
      </x:c>
      <x:c r="M16" s="29" t="n">
        <x:f>M13*M14/'Assumptions'!$D$35*(1+M15)</x:f>
        <x:v>168000</x:v>
      </x:c>
      <x:c r="N16" s="29" t="n">
        <x:f>N13*N14/'Assumptions'!$D$35*(1+N15)</x:f>
        <x:v>172200</x:v>
      </x:c>
      <x:c r="O16" s="29" t="n">
        <x:f>O13*O14/'Assumptions'!$D$35*(1+O15)</x:f>
        <x:v>176400</x:v>
      </x:c>
      <x:c r="P16" s="29" t="n">
        <x:f>P13*P14/'Assumptions'!$D$35*(1+P15)</x:f>
        <x:v>176400</x:v>
      </x:c>
      <x:c r="Q16" s="29" t="n">
        <x:f>Q13*Q14/'Assumptions'!$D$35*(1+Q15)</x:f>
        <x:v>176400</x:v>
      </x:c>
      <x:c r="R16" s="2"/>
      <x:c r="S16" s="43" t="str">
        <x:v>Paid FTE × annual salary ÷ 12 × (1 + payroll burden).</x:v>
      </x:c>
    </x:row>
    <x:row r="17" ht="27" customHeight="1">
      <x:c r="C17" s="2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2"/>
      <x:c r="S17" s="43"/>
    </x:row>
    <x:row r="18" ht="27" customHeight="1">
      <x:c r="C18" s="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14" t="str">
        <x:v>Actual and forecast support staff</x:v>
      </x:c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2"/>
      <x:c r="S22" s="43"/>
    </x:row>
    <x:row r="23" ht="27" customHeight="1">
      <x:c r="C23" s="2" t="str">
        <x:v>Opening FTE</x:v>
      </x:c>
      <x:c r="D23" s="11" t="n">
        <x:f>'Actuals'!D25</x:f>
        <x:v>20</x:v>
      </x:c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2"/>
      <x:c r="S23" s="43"/>
    </x:row>
    <x:row r="24" ht="27" customHeight="1">
      <x:c r="C24" s="2" t="str">
        <x:v>Opening FTE</x:v>
      </x:c>
      <x:c r="D24" s="11"/>
      <x:c r="E24" s="11"/>
      <x:c r="F24" s="11" t="n">
        <x:f>$D$23</x:f>
        <x:v>20</x:v>
      </x:c>
      <x:c r="G24" s="11" t="n">
        <x:f>F27</x:f>
        <x:v>20</x:v>
      </x:c>
      <x:c r="H24" s="11" t="n">
        <x:f>G27</x:f>
        <x:v>21</x:v>
      </x:c>
      <x:c r="I24" s="11" t="n">
        <x:f>H27</x:f>
        <x:v>21</x:v>
      </x:c>
      <x:c r="J24" s="11" t="n">
        <x:f>I27</x:f>
        <x:v>22</x:v>
      </x:c>
      <x:c r="K24" s="11" t="n">
        <x:f>J27</x:f>
        <x:v>21</x:v>
      </x:c>
      <x:c r="L24" s="11" t="n">
        <x:f>K27</x:f>
        <x:v>21</x:v>
      </x:c>
      <x:c r="M24" s="11" t="n">
        <x:f>L27</x:f>
        <x:v>21</x:v>
      </x:c>
      <x:c r="N24" s="11" t="n">
        <x:f>M27</x:f>
        <x:v>22</x:v>
      </x:c>
      <x:c r="O24" s="11" t="n">
        <x:f>N27</x:f>
        <x:v>22</x:v>
      </x:c>
      <x:c r="P24" s="11" t="n">
        <x:f>O27</x:f>
        <x:v>23</x:v>
      </x:c>
      <x:c r="Q24" s="11" t="n">
        <x:f>P27</x:f>
        <x:v>23</x:v>
      </x:c>
      <x:c r="R24" s="2"/>
      <x:c r="S24" s="43"/>
    </x:row>
    <x:row r="25" ht="27" customHeight="1">
      <x:c r="C25" s="2" t="str">
        <x:v>Hires</x:v>
      </x:c>
      <x:c r="D25" s="11" t="n">
        <x:f>SUM(F25:Q25)</x:f>
        <x:v>4</x:v>
      </x:c>
      <x:c r="E25" s="11"/>
      <x:c r="F25" s="11" t="n">
        <x:f>'Actuals'!F20</x:f>
        <x:v>0</x:v>
      </x:c>
      <x:c r="G25" s="11" t="n">
        <x:f>'Actuals'!G20</x:f>
        <x:v>1</x:v>
      </x:c>
      <x:c r="H25" s="11" t="n">
        <x:f>'Actuals'!H20</x:f>
        <x:v>0</x:v>
      </x:c>
      <x:c r="I25" s="11" t="n">
        <x:f>'Actuals'!I20</x:f>
        <x:v>1</x:v>
      </x:c>
      <x:c r="J25" s="11" t="n">
        <x:f>'Actuals'!J20</x:f>
        <x:v>0</x:v>
      </x:c>
      <x:c r="K25" s="11" t="n">
        <x:f>'Actuals'!K20</x:f>
        <x:v>0</x:v>
      </x:c>
      <x:c r="L25" s="17" t="n">
        <x:v>0</x:v>
      </x:c>
      <x:c r="M25" s="17" t="n">
        <x:v>1</x:v>
      </x:c>
      <x:c r="N25" s="17" t="n">
        <x:v>0</x:v>
      </x:c>
      <x:c r="O25" s="17" t="n">
        <x:v>1</x:v>
      </x:c>
      <x:c r="P25" s="17" t="n">
        <x:v>0</x:v>
      </x:c>
      <x:c r="Q25" s="17" t="n">
        <x:v>0</x:v>
      </x:c>
      <x:c r="R25" s="2"/>
      <x:c r="S25" s="43"/>
    </x:row>
    <x:row r="26" ht="27" customHeight="1">
      <x:c r="C26" s="2" t="str">
        <x:v>Exits</x:v>
      </x:c>
      <x:c r="D26" s="11" t="n">
        <x:f>SUM(F26:Q26)</x:f>
        <x:v>1</x:v>
      </x:c>
      <x:c r="E26" s="11"/>
      <x:c r="F26" s="11" t="n">
        <x:f>'Actuals'!F21</x:f>
        <x:v>0</x:v>
      </x:c>
      <x:c r="G26" s="11" t="n">
        <x:f>'Actuals'!G21</x:f>
        <x:v>0</x:v>
      </x:c>
      <x:c r="H26" s="11" t="n">
        <x:f>'Actuals'!H21</x:f>
        <x:v>0</x:v>
      </x:c>
      <x:c r="I26" s="11" t="n">
        <x:f>'Actuals'!I21</x:f>
        <x:v>0</x:v>
      </x:c>
      <x:c r="J26" s="11" t="n">
        <x:f>'Actuals'!J21</x:f>
        <x:v>1</x:v>
      </x:c>
      <x:c r="K26" s="11" t="n">
        <x:f>'Actuals'!K21</x:f>
        <x:v>0</x:v>
      </x:c>
      <x:c r="L26" s="17" t="n">
        <x:v>0</x:v>
      </x:c>
      <x:c r="M26" s="17" t="n">
        <x:v>0</x:v>
      </x:c>
      <x:c r="N26" s="17" t="n">
        <x:v>0</x:v>
      </x:c>
      <x:c r="O26" s="17" t="n">
        <x:v>0</x:v>
      </x:c>
      <x:c r="P26" s="17" t="n">
        <x:v>0</x:v>
      </x:c>
      <x:c r="Q26" s="17" t="n">
        <x:v>0</x:v>
      </x:c>
      <x:c r="R26" s="2"/>
      <x:c r="S26" s="43"/>
    </x:row>
    <x:row r="27" ht="27" customHeight="1">
      <x:c r="C27" s="2" t="str">
        <x:v>Ending FTE</x:v>
      </x:c>
      <x:c r="D27" s="11" t="n">
        <x:f>Q27</x:f>
        <x:v>23</x:v>
      </x:c>
      <x:c r="E27" s="11"/>
      <x:c r="F27" s="11" t="n">
        <x:f>F24+F25-F26</x:f>
        <x:v>20</x:v>
      </x:c>
      <x:c r="G27" s="11" t="n">
        <x:f>G24+G25-G26</x:f>
        <x:v>21</x:v>
      </x:c>
      <x:c r="H27" s="11" t="n">
        <x:f>H24+H25-H26</x:f>
        <x:v>21</x:v>
      </x:c>
      <x:c r="I27" s="11" t="n">
        <x:f>I24+I25-I26</x:f>
        <x:v>22</x:v>
      </x:c>
      <x:c r="J27" s="11" t="n">
        <x:f>J24+J25-J26</x:f>
        <x:v>21</x:v>
      </x:c>
      <x:c r="K27" s="11" t="n">
        <x:f>K24+K25-K26</x:f>
        <x:v>21</x:v>
      </x:c>
      <x:c r="L27" s="11" t="n">
        <x:f>L24+L25-L26</x:f>
        <x:v>21</x:v>
      </x:c>
      <x:c r="M27" s="11" t="n">
        <x:f>M24+M25-M26</x:f>
        <x:v>22</x:v>
      </x:c>
      <x:c r="N27" s="11" t="n">
        <x:f>N24+N25-N26</x:f>
        <x:v>22</x:v>
      </x:c>
      <x:c r="O27" s="11" t="n">
        <x:f>O24+O25-O26</x:f>
        <x:v>23</x:v>
      </x:c>
      <x:c r="P27" s="11" t="n">
        <x:f>P24+P25-P26</x:f>
        <x:v>23</x:v>
      </x:c>
      <x:c r="Q27" s="11" t="n">
        <x:f>Q24+Q25-Q26</x:f>
        <x:v>23</x:v>
      </x:c>
      <x:c r="R27" s="2"/>
      <x:c r="S27" s="43"/>
    </x:row>
    <x:row r="28" ht="27" customHeight="1">
      <x:c r="C28" s="2" t="str">
        <x:v>Average paid FTE</x:v>
      </x:c>
      <x:c r="D28" s="23" t="n">
        <x:f>AVERAGE(F28:Q28)</x:f>
        <x:v>21.541666666666668</x:v>
      </x:c>
      <x:c r="E28" s="23"/>
      <x:c r="F28" s="23" t="n">
        <x:f>(F24+F27)/2</x:f>
        <x:v>20</x:v>
      </x:c>
      <x:c r="G28" s="23" t="n">
        <x:f>(G24+G27)/2</x:f>
        <x:v>20.5</x:v>
      </x:c>
      <x:c r="H28" s="23" t="n">
        <x:f>(H24+H27)/2</x:f>
        <x:v>21</x:v>
      </x:c>
      <x:c r="I28" s="23" t="n">
        <x:f>(I24+I27)/2</x:f>
        <x:v>21.5</x:v>
      </x:c>
      <x:c r="J28" s="23" t="n">
        <x:f>(J24+J27)/2</x:f>
        <x:v>21.5</x:v>
      </x:c>
      <x:c r="K28" s="23" t="n">
        <x:f>(K24+K27)/2</x:f>
        <x:v>21</x:v>
      </x:c>
      <x:c r="L28" s="23" t="n">
        <x:f>(L24+L27)/2</x:f>
        <x:v>21</x:v>
      </x:c>
      <x:c r="M28" s="23" t="n">
        <x:f>(M24+M27)/2</x:f>
        <x:v>21.5</x:v>
      </x:c>
      <x:c r="N28" s="23" t="n">
        <x:f>(N24+N27)/2</x:f>
        <x:v>22</x:v>
      </x:c>
      <x:c r="O28" s="23" t="n">
        <x:f>(O24+O27)/2</x:f>
        <x:v>22.5</x:v>
      </x:c>
      <x:c r="P28" s="23" t="n">
        <x:f>(P24+P27)/2</x:f>
        <x:v>23</x:v>
      </x:c>
      <x:c r="Q28" s="23" t="n">
        <x:f>(Q24+Q27)/2</x:f>
        <x:v>23</x:v>
      </x:c>
      <x:c r="R28" s="2"/>
      <x:c r="S28" s="43"/>
    </x:row>
    <x:row r="29" ht="27" customHeight="1">
      <x:c r="C29" s="2" t="str">
        <x:v>Annual salary / FTE</x:v>
      </x:c>
      <x:c r="D29" s="11"/>
      <x:c r="E29" s="11"/>
      <x:c r="F29" s="11" t="n">
        <x:f>'Actuals'!F22</x:f>
        <x:v>84840</x:v>
      </x:c>
      <x:c r="G29" s="11" t="n">
        <x:f>'Actuals'!G22</x:f>
        <x:v>84840</x:v>
      </x:c>
      <x:c r="H29" s="11" t="n">
        <x:f>'Actuals'!H22</x:f>
        <x:v>84840</x:v>
      </x:c>
      <x:c r="I29" s="11" t="n">
        <x:f>'Actuals'!I22</x:f>
        <x:v>84840</x:v>
      </x:c>
      <x:c r="J29" s="11" t="n">
        <x:f>'Actuals'!J22</x:f>
        <x:v>84840</x:v>
      </x:c>
      <x:c r="K29" s="11" t="n">
        <x:f>'Actuals'!K22</x:f>
        <x:v>84840</x:v>
      </x:c>
      <x:c r="L29" s="11" t="n">
        <x:f>'Assumptions'!L14*(1+'Assumptions'!L26)</x:f>
        <x:v>84000</x:v>
      </x:c>
      <x:c r="M29" s="11" t="n">
        <x:f>'Assumptions'!M14*(1+'Assumptions'!M26)</x:f>
        <x:v>84000</x:v>
      </x:c>
      <x:c r="N29" s="11" t="n">
        <x:f>'Assumptions'!N14*(1+'Assumptions'!N26)</x:f>
        <x:v>84000</x:v>
      </x:c>
      <x:c r="O29" s="11" t="n">
        <x:f>'Assumptions'!O14*(1+'Assumptions'!O26)</x:f>
        <x:v>84000</x:v>
      </x:c>
      <x:c r="P29" s="11" t="n">
        <x:f>'Assumptions'!P14*(1+'Assumptions'!P26)</x:f>
        <x:v>84000</x:v>
      </x:c>
      <x:c r="Q29" s="11" t="n">
        <x:f>'Assumptions'!Q14*(1+'Assumptions'!Q26)</x:f>
        <x:v>84000</x:v>
      </x:c>
      <x:c r="R29" s="2"/>
      <x:c r="S29" s="43"/>
    </x:row>
    <x:row r="30" ht="27" customHeight="1">
      <x:c r="C30" s="2" t="str">
        <x:v>Payroll burden</x:v>
      </x:c>
      <x:c r="D30" s="11"/>
      <x:c r="E30" s="11"/>
      <x:c r="F30" s="20" t="n">
        <x:f>'Actuals'!F23</x:f>
        <x:v>0.2</x:v>
      </x:c>
      <x:c r="G30" s="20" t="n">
        <x:f>'Actuals'!G23</x:f>
        <x:v>0.2</x:v>
      </x:c>
      <x:c r="H30" s="20" t="n">
        <x:f>'Actuals'!H23</x:f>
        <x:v>0.2</x:v>
      </x:c>
      <x:c r="I30" s="20" t="n">
        <x:f>'Actuals'!I23</x:f>
        <x:v>0.2</x:v>
      </x:c>
      <x:c r="J30" s="20" t="n">
        <x:f>'Actuals'!J23</x:f>
        <x:v>0.2</x:v>
      </x:c>
      <x:c r="K30" s="20" t="n">
        <x:f>'Actuals'!K23</x:f>
        <x:v>0.2</x:v>
      </x:c>
      <x:c r="L30" s="20" t="n">
        <x:f>'Assumptions'!L15</x:f>
        <x:v>0.2</x:v>
      </x:c>
      <x:c r="M30" s="20" t="n">
        <x:f>'Assumptions'!M15</x:f>
        <x:v>0.2</x:v>
      </x:c>
      <x:c r="N30" s="20" t="n">
        <x:f>'Assumptions'!N15</x:f>
        <x:v>0.2</x:v>
      </x:c>
      <x:c r="O30" s="20" t="n">
        <x:f>'Assumptions'!O15</x:f>
        <x:v>0.2</x:v>
      </x:c>
      <x:c r="P30" s="20" t="n">
        <x:f>'Assumptions'!P15</x:f>
        <x:v>0.2</x:v>
      </x:c>
      <x:c r="Q30" s="20" t="n">
        <x:f>'Assumptions'!Q15</x:f>
        <x:v>0.2</x:v>
      </x:c>
      <x:c r="R30" s="2"/>
      <x:c r="S30" s="43"/>
    </x:row>
    <x:row r="31" ht="27" customHeight="1">
      <x:c r="C31" s="28" t="str">
        <x:v>Payroll expense</x:v>
      </x:c>
      <x:c r="D31" s="29" t="n">
        <x:f>SUM(F31:Q31)</x:f>
        <x:v>2181942</x:v>
      </x:c>
      <x:c r="E31" s="29"/>
      <x:c r="F31" s="29" t="n">
        <x:f>F28*F29/'Assumptions'!$D$35*(1+F30)</x:f>
        <x:v>169680</x:v>
      </x:c>
      <x:c r="G31" s="29" t="n">
        <x:f>G28*G29/'Assumptions'!$D$35*(1+G30)</x:f>
        <x:v>173922</x:v>
      </x:c>
      <x:c r="H31" s="29" t="n">
        <x:f>H28*H29/'Assumptions'!$D$35*(1+H30)</x:f>
        <x:v>178164</x:v>
      </x:c>
      <x:c r="I31" s="29" t="n">
        <x:f>I28*I29/'Assumptions'!$D$35*(1+I30)</x:f>
        <x:v>182406</x:v>
      </x:c>
      <x:c r="J31" s="29" t="n">
        <x:f>J28*J29/'Assumptions'!$D$35*(1+J30)</x:f>
        <x:v>182406</x:v>
      </x:c>
      <x:c r="K31" s="29" t="n">
        <x:f>K28*K29/'Assumptions'!$D$35*(1+K30)</x:f>
        <x:v>178164</x:v>
      </x:c>
      <x:c r="L31" s="29" t="n">
        <x:f>L28*L29/'Assumptions'!$D$35*(1+L30)</x:f>
        <x:v>176400</x:v>
      </x:c>
      <x:c r="M31" s="29" t="n">
        <x:f>M28*M29/'Assumptions'!$D$35*(1+M30)</x:f>
        <x:v>180600</x:v>
      </x:c>
      <x:c r="N31" s="29" t="n">
        <x:f>N28*N29/'Assumptions'!$D$35*(1+N30)</x:f>
        <x:v>184800</x:v>
      </x:c>
      <x:c r="O31" s="29" t="n">
        <x:f>O28*O29/'Assumptions'!$D$35*(1+O30)</x:f>
        <x:v>189000</x:v>
      </x:c>
      <x:c r="P31" s="29" t="n">
        <x:f>P28*P29/'Assumptions'!$D$35*(1+P30)</x:f>
        <x:v>193200</x:v>
      </x:c>
      <x:c r="Q31" s="29" t="n">
        <x:f>Q28*Q29/'Assumptions'!$D$35*(1+Q30)</x:f>
        <x:v>193200</x:v>
      </x:c>
      <x:c r="R31" s="2"/>
      <x:c r="S31" s="43" t="str">
        <x:v>January–June must reconcile to recorded payroll on Actuals.</x:v>
      </x:c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Working capital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14" t="str">
        <x:v>Budget working capital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Revenue</x:v>
      </x:c>
      <x:c r="D8" s="11" t="n">
        <x:f>SUM(F8:Q8)</x:f>
        <x:v>6897150</x:v>
      </x:c>
      <x:c r="E8" s="11"/>
      <x:c r="F8" s="11" t="n">
        <x:f>'Budget'!F10</x:f>
        <x:v>560250</x:v>
      </x:c>
      <x:c r="G8" s="11" t="n">
        <x:f>'Budget'!G10</x:f>
        <x:v>593730</x:v>
      </x:c>
      <x:c r="H8" s="11" t="n">
        <x:f>'Budget'!H10</x:f>
        <x:v>611550</x:v>
      </x:c>
      <x:c r="I8" s="11" t="n">
        <x:f>'Budget'!I10</x:f>
        <x:v>611280</x:v>
      </x:c>
      <x:c r="J8" s="11" t="n">
        <x:f>'Budget'!J10</x:f>
        <x:v>595350</x:v>
      </x:c>
      <x:c r="K8" s="11" t="n">
        <x:f>'Budget'!K10</x:f>
        <x:v>570375</x:v>
      </x:c>
      <x:c r="L8" s="11" t="n">
        <x:f>'Budget'!L10</x:f>
        <x:v>545400</x:v>
      </x:c>
      <x:c r="M8" s="11" t="n">
        <x:f>'Budget'!M10</x:f>
        <x:v>529470</x:v>
      </x:c>
      <x:c r="N8" s="11" t="n">
        <x:f>'Budget'!N10</x:f>
        <x:v>529200</x:v>
      </x:c>
      <x:c r="O8" s="11" t="n">
        <x:f>'Budget'!O10</x:f>
        <x:v>547020</x:v>
      </x:c>
      <x:c r="P8" s="11" t="n">
        <x:f>'Budget'!P10</x:f>
        <x:v>580500</x:v>
      </x:c>
      <x:c r="Q8" s="11" t="n">
        <x:f>'Budget'!Q10</x:f>
        <x:v>623025</x:v>
      </x:c>
      <x:c r="R8" s="2"/>
      <x:c r="S8" s="43"/>
    </x:row>
    <x:row r="9" ht="27" customHeight="1">
      <x:c r="C9" s="2" t="str">
        <x:v>COGS</x:v>
      </x:c>
      <x:c r="D9" s="11" t="n">
        <x:f>SUM(F9:Q9)</x:f>
        <x:v>3576300</x:v>
      </x:c>
      <x:c r="E9" s="11"/>
      <x:c r="F9" s="11" t="n">
        <x:f>'Budget'!F16</x:f>
        <x:v>290500</x:v>
      </x:c>
      <x:c r="G9" s="11" t="n">
        <x:f>'Budget'!G16</x:f>
        <x:v>307860</x:v>
      </x:c>
      <x:c r="H9" s="11" t="n">
        <x:f>'Budget'!H16</x:f>
        <x:v>317100</x:v>
      </x:c>
      <x:c r="I9" s="11" t="n">
        <x:f>'Budget'!I16</x:f>
        <x:v>316960</x:v>
      </x:c>
      <x:c r="J9" s="11" t="n">
        <x:f>'Budget'!J16</x:f>
        <x:v>308700</x:v>
      </x:c>
      <x:c r="K9" s="11" t="n">
        <x:f>'Budget'!K16</x:f>
        <x:v>295750</x:v>
      </x:c>
      <x:c r="L9" s="11" t="n">
        <x:f>'Budget'!L16</x:f>
        <x:v>282800</x:v>
      </x:c>
      <x:c r="M9" s="11" t="n">
        <x:f>'Budget'!M16</x:f>
        <x:v>274540</x:v>
      </x:c>
      <x:c r="N9" s="11" t="n">
        <x:f>'Budget'!N16</x:f>
        <x:v>274400</x:v>
      </x:c>
      <x:c r="O9" s="11" t="n">
        <x:f>'Budget'!O16</x:f>
        <x:v>283640</x:v>
      </x:c>
      <x:c r="P9" s="11" t="n">
        <x:f>'Budget'!P16</x:f>
        <x:v>301000</x:v>
      </x:c>
      <x:c r="Q9" s="11" t="n">
        <x:f>'Budget'!Q16</x:f>
        <x:v>323050</x:v>
      </x:c>
      <x:c r="R9" s="2"/>
      <x:c r="S9" s="43"/>
    </x:row>
    <x:row r="10" ht="27" customHeight="1">
      <x:c r="C10" s="2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2"/>
      <x:c r="S10" s="43"/>
    </x:row>
    <x:row r="11" ht="27" customHeight="1">
      <x:c r="C11" s="2" t="str">
        <x:v>Receivable days</x:v>
      </x:c>
      <x:c r="D11" s="11"/>
      <x:c r="E11" s="11"/>
      <x:c r="F11" s="11" t="n">
        <x:f>'Assumptions'!F16</x:f>
        <x:v>36</x:v>
      </x:c>
      <x:c r="G11" s="11" t="n">
        <x:f>'Assumptions'!G16</x:f>
        <x:v>36</x:v>
      </x:c>
      <x:c r="H11" s="11" t="n">
        <x:f>'Assumptions'!H16</x:f>
        <x:v>36</x:v>
      </x:c>
      <x:c r="I11" s="11" t="n">
        <x:f>'Assumptions'!I16</x:f>
        <x:v>36</x:v>
      </x:c>
      <x:c r="J11" s="11" t="n">
        <x:f>'Assumptions'!J16</x:f>
        <x:v>36</x:v>
      </x:c>
      <x:c r="K11" s="11" t="n">
        <x:f>'Assumptions'!K16</x:f>
        <x:v>36</x:v>
      </x:c>
      <x:c r="L11" s="11" t="n">
        <x:f>'Assumptions'!L16</x:f>
        <x:v>36</x:v>
      </x:c>
      <x:c r="M11" s="11" t="n">
        <x:f>'Assumptions'!M16</x:f>
        <x:v>36</x:v>
      </x:c>
      <x:c r="N11" s="11" t="n">
        <x:f>'Assumptions'!N16</x:f>
        <x:v>36</x:v>
      </x:c>
      <x:c r="O11" s="11" t="n">
        <x:f>'Assumptions'!O16</x:f>
        <x:v>36</x:v>
      </x:c>
      <x:c r="P11" s="11" t="n">
        <x:f>'Assumptions'!P16</x:f>
        <x:v>36</x:v>
      </x:c>
      <x:c r="Q11" s="11" t="n">
        <x:f>'Assumptions'!Q16</x:f>
        <x:v>36</x:v>
      </x:c>
      <x:c r="R11" s="2"/>
      <x:c r="S11" s="43"/>
    </x:row>
    <x:row r="12" ht="27" customHeight="1">
      <x:c r="C12" s="2" t="str">
        <x:v>Inventory days</x:v>
      </x:c>
      <x:c r="D12" s="11"/>
      <x:c r="E12" s="11"/>
      <x:c r="F12" s="11" t="n">
        <x:f>'Assumptions'!F17</x:f>
        <x:v>42</x:v>
      </x:c>
      <x:c r="G12" s="11" t="n">
        <x:f>'Assumptions'!G17</x:f>
        <x:v>42</x:v>
      </x:c>
      <x:c r="H12" s="11" t="n">
        <x:f>'Assumptions'!H17</x:f>
        <x:v>42</x:v>
      </x:c>
      <x:c r="I12" s="11" t="n">
        <x:f>'Assumptions'!I17</x:f>
        <x:v>42</x:v>
      </x:c>
      <x:c r="J12" s="11" t="n">
        <x:f>'Assumptions'!J17</x:f>
        <x:v>42</x:v>
      </x:c>
      <x:c r="K12" s="11" t="n">
        <x:f>'Assumptions'!K17</x:f>
        <x:v>42</x:v>
      </x:c>
      <x:c r="L12" s="11" t="n">
        <x:f>'Assumptions'!L17</x:f>
        <x:v>42</x:v>
      </x:c>
      <x:c r="M12" s="11" t="n">
        <x:f>'Assumptions'!M17</x:f>
        <x:v>42</x:v>
      </x:c>
      <x:c r="N12" s="11" t="n">
        <x:f>'Assumptions'!N17</x:f>
        <x:v>42</x:v>
      </x:c>
      <x:c r="O12" s="11" t="n">
        <x:f>'Assumptions'!O17</x:f>
        <x:v>42</x:v>
      </x:c>
      <x:c r="P12" s="11" t="n">
        <x:f>'Assumptions'!P17</x:f>
        <x:v>42</x:v>
      </x:c>
      <x:c r="Q12" s="11" t="n">
        <x:f>'Assumptions'!Q17</x:f>
        <x:v>42</x:v>
      </x:c>
      <x:c r="R12" s="2"/>
      <x:c r="S12" s="43"/>
    </x:row>
    <x:row r="13" ht="27" customHeight="1">
      <x:c r="C13" s="2" t="str">
        <x:v>Payable days</x:v>
      </x:c>
      <x:c r="D13" s="11"/>
      <x:c r="E13" s="11"/>
      <x:c r="F13" s="11" t="n">
        <x:f>'Assumptions'!F18</x:f>
        <x:v>28</x:v>
      </x:c>
      <x:c r="G13" s="11" t="n">
        <x:f>'Assumptions'!G18</x:f>
        <x:v>28</x:v>
      </x:c>
      <x:c r="H13" s="11" t="n">
        <x:f>'Assumptions'!H18</x:f>
        <x:v>28</x:v>
      </x:c>
      <x:c r="I13" s="11" t="n">
        <x:f>'Assumptions'!I18</x:f>
        <x:v>28</x:v>
      </x:c>
      <x:c r="J13" s="11" t="n">
        <x:f>'Assumptions'!J18</x:f>
        <x:v>28</x:v>
      </x:c>
      <x:c r="K13" s="11" t="n">
        <x:f>'Assumptions'!K18</x:f>
        <x:v>28</x:v>
      </x:c>
      <x:c r="L13" s="11" t="n">
        <x:f>'Assumptions'!L18</x:f>
        <x:v>28</x:v>
      </x:c>
      <x:c r="M13" s="11" t="n">
        <x:f>'Assumptions'!M18</x:f>
        <x:v>28</x:v>
      </x:c>
      <x:c r="N13" s="11" t="n">
        <x:f>'Assumptions'!N18</x:f>
        <x:v>28</x:v>
      </x:c>
      <x:c r="O13" s="11" t="n">
        <x:f>'Assumptions'!O18</x:f>
        <x:v>28</x:v>
      </x:c>
      <x:c r="P13" s="11" t="n">
        <x:f>'Assumptions'!P18</x:f>
        <x:v>28</x:v>
      </x:c>
      <x:c r="Q13" s="11" t="n">
        <x:f>'Assumptions'!Q18</x:f>
        <x:v>28</x:v>
      </x:c>
      <x:c r="R13" s="2"/>
      <x:c r="S13" s="43"/>
    </x:row>
    <x:row r="14" ht="27" customHeight="1">
      <x:c r="C14" s="2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2"/>
      <x:c r="S14" s="43"/>
    </x:row>
    <x:row r="15" ht="27" customHeight="1">
      <x:c r="C15" s="2" t="str">
        <x:v>Accounts receivable</x:v>
      </x:c>
      <x:c r="D15" s="11" t="n">
        <x:f>Q15</x:f>
        <x:v>747630</x:v>
      </x:c>
      <x:c r="E15" s="11"/>
      <x:c r="F15" s="11" t="n">
        <x:f>F8*F11/'Assumptions'!$D$34</x:f>
        <x:v>672300</x:v>
      </x:c>
      <x:c r="G15" s="11" t="n">
        <x:f>G8*G11/'Assumptions'!$D$34</x:f>
        <x:v>712476</x:v>
      </x:c>
      <x:c r="H15" s="11" t="n">
        <x:f>H8*H11/'Assumptions'!$D$34</x:f>
        <x:v>733860</x:v>
      </x:c>
      <x:c r="I15" s="11" t="n">
        <x:f>I8*I11/'Assumptions'!$D$34</x:f>
        <x:v>733536</x:v>
      </x:c>
      <x:c r="J15" s="11" t="n">
        <x:f>J8*J11/'Assumptions'!$D$34</x:f>
        <x:v>714420</x:v>
      </x:c>
      <x:c r="K15" s="11" t="n">
        <x:f>K8*K11/'Assumptions'!$D$34</x:f>
        <x:v>684450</x:v>
      </x:c>
      <x:c r="L15" s="11" t="n">
        <x:f>L8*L11/'Assumptions'!$D$34</x:f>
        <x:v>654480</x:v>
      </x:c>
      <x:c r="M15" s="11" t="n">
        <x:f>M8*M11/'Assumptions'!$D$34</x:f>
        <x:v>635364</x:v>
      </x:c>
      <x:c r="N15" s="11" t="n">
        <x:f>N8*N11/'Assumptions'!$D$34</x:f>
        <x:v>635040</x:v>
      </x:c>
      <x:c r="O15" s="11" t="n">
        <x:f>O8*O11/'Assumptions'!$D$34</x:f>
        <x:v>656424</x:v>
      </x:c>
      <x:c r="P15" s="11" t="n">
        <x:f>P8*P11/'Assumptions'!$D$34</x:f>
        <x:v>696600</x:v>
      </x:c>
      <x:c r="Q15" s="11" t="n">
        <x:f>Q8*Q11/'Assumptions'!$D$34</x:f>
        <x:v>747630</x:v>
      </x:c>
      <x:c r="R15" s="2"/>
      <x:c r="S15" s="43" t="str">
        <x:v>Revenue × receivable days ÷ 30.</x:v>
      </x:c>
    </x:row>
    <x:row r="16" ht="27" customHeight="1">
      <x:c r="C16" s="2" t="str">
        <x:v>Inventory</x:v>
      </x:c>
      <x:c r="D16" s="11" t="n">
        <x:f>Q16</x:f>
        <x:v>452270</x:v>
      </x:c>
      <x:c r="E16" s="11"/>
      <x:c r="F16" s="11" t="n">
        <x:f>F9*F12/'Assumptions'!$D$34</x:f>
        <x:v>406700</x:v>
      </x:c>
      <x:c r="G16" s="11" t="n">
        <x:f>G9*G12/'Assumptions'!$D$34</x:f>
        <x:v>431004</x:v>
      </x:c>
      <x:c r="H16" s="11" t="n">
        <x:f>H9*H12/'Assumptions'!$D$34</x:f>
        <x:v>443940</x:v>
      </x:c>
      <x:c r="I16" s="11" t="n">
        <x:f>I9*I12/'Assumptions'!$D$34</x:f>
        <x:v>443744</x:v>
      </x:c>
      <x:c r="J16" s="11" t="n">
        <x:f>J9*J12/'Assumptions'!$D$34</x:f>
        <x:v>432180</x:v>
      </x:c>
      <x:c r="K16" s="11" t="n">
        <x:f>K9*K12/'Assumptions'!$D$34</x:f>
        <x:v>414050</x:v>
      </x:c>
      <x:c r="L16" s="11" t="n">
        <x:f>L9*L12/'Assumptions'!$D$34</x:f>
        <x:v>395920</x:v>
      </x:c>
      <x:c r="M16" s="11" t="n">
        <x:f>M9*M12/'Assumptions'!$D$34</x:f>
        <x:v>384356</x:v>
      </x:c>
      <x:c r="N16" s="11" t="n">
        <x:f>N9*N12/'Assumptions'!$D$34</x:f>
        <x:v>384160</x:v>
      </x:c>
      <x:c r="O16" s="11" t="n">
        <x:f>O9*O12/'Assumptions'!$D$34</x:f>
        <x:v>397096</x:v>
      </x:c>
      <x:c r="P16" s="11" t="n">
        <x:f>P9*P12/'Assumptions'!$D$34</x:f>
        <x:v>421400</x:v>
      </x:c>
      <x:c r="Q16" s="11" t="n">
        <x:f>Q9*Q12/'Assumptions'!$D$34</x:f>
        <x:v>452270</x:v>
      </x:c>
      <x:c r="R16" s="2"/>
      <x:c r="S16" s="43"/>
    </x:row>
    <x:row r="17" ht="27" customHeight="1">
      <x:c r="C17" s="2" t="str">
        <x:v>Accounts payable</x:v>
      </x:c>
      <x:c r="D17" s="11" t="n">
        <x:f>Q17</x:f>
        <x:v>301513.3333333333</x:v>
      </x:c>
      <x:c r="E17" s="11"/>
      <x:c r="F17" s="11" t="n">
        <x:f>F9*F13/'Assumptions'!$D$34</x:f>
        <x:v>271133.3333333333</x:v>
      </x:c>
      <x:c r="G17" s="11" t="n">
        <x:f>G9*G13/'Assumptions'!$D$34</x:f>
        <x:v>287336</x:v>
      </x:c>
      <x:c r="H17" s="11" t="n">
        <x:f>H9*H13/'Assumptions'!$D$34</x:f>
        <x:v>295960</x:v>
      </x:c>
      <x:c r="I17" s="11" t="n">
        <x:f>I9*I13/'Assumptions'!$D$34</x:f>
        <x:v>295829.3333333333</x:v>
      </x:c>
      <x:c r="J17" s="11" t="n">
        <x:f>J9*J13/'Assumptions'!$D$34</x:f>
        <x:v>288120</x:v>
      </x:c>
      <x:c r="K17" s="11" t="n">
        <x:f>K9*K13/'Assumptions'!$D$34</x:f>
        <x:v>276033.3333333333</x:v>
      </x:c>
      <x:c r="L17" s="11" t="n">
        <x:f>L9*L13/'Assumptions'!$D$34</x:f>
        <x:v>263946.6666666667</x:v>
      </x:c>
      <x:c r="M17" s="11" t="n">
        <x:f>M9*M13/'Assumptions'!$D$34</x:f>
        <x:v>256237.33333333334</x:v>
      </x:c>
      <x:c r="N17" s="11" t="n">
        <x:f>N9*N13/'Assumptions'!$D$34</x:f>
        <x:v>256106.66666666666</x:v>
      </x:c>
      <x:c r="O17" s="11" t="n">
        <x:f>O9*O13/'Assumptions'!$D$34</x:f>
        <x:v>264730.6666666667</x:v>
      </x:c>
      <x:c r="P17" s="11" t="n">
        <x:f>P9*P13/'Assumptions'!$D$34</x:f>
        <x:v>280933.3333333333</x:v>
      </x:c>
      <x:c r="Q17" s="11" t="n">
        <x:f>Q9*Q13/'Assumptions'!$D$34</x:f>
        <x:v>301513.3333333333</x:v>
      </x:c>
      <x:c r="R17" s="2"/>
      <x:c r="S17" s="43"/>
    </x:row>
    <x:row r="18" ht="27" customHeight="1">
      <x:c r="C18" s="26" t="str">
        <x:v>Net working capital</x:v>
      </x:c>
      <x:c r="D18" s="27" t="n">
        <x:f>Q18</x:f>
        <x:v>898386.6666666667</x:v>
      </x:c>
      <x:c r="E18" s="27"/>
      <x:c r="F18" s="27" t="n">
        <x:f>F15+F16-F17</x:f>
        <x:v>807866.6666666667</x:v>
      </x:c>
      <x:c r="G18" s="27" t="n">
        <x:f>G15+G16-G17</x:f>
        <x:v>856144</x:v>
      </x:c>
      <x:c r="H18" s="27" t="n">
        <x:f>H15+H16-H17</x:f>
        <x:v>881840</x:v>
      </x:c>
      <x:c r="I18" s="27" t="n">
        <x:f>I15+I16-I17</x:f>
        <x:v>881450.6666666667</x:v>
      </x:c>
      <x:c r="J18" s="27" t="n">
        <x:f>J15+J16-J17</x:f>
        <x:v>858480</x:v>
      </x:c>
      <x:c r="K18" s="27" t="n">
        <x:f>K15+K16-K17</x:f>
        <x:v>822466.6666666667</x:v>
      </x:c>
      <x:c r="L18" s="27" t="n">
        <x:f>L15+L16-L17</x:f>
        <x:v>786453.3333333333</x:v>
      </x:c>
      <x:c r="M18" s="27" t="n">
        <x:f>M15+M16-M17</x:f>
        <x:v>763482.6666666666</x:v>
      </x:c>
      <x:c r="N18" s="27" t="n">
        <x:f>N15+N16-N17</x:f>
        <x:v>763093.3333333334</x:v>
      </x:c>
      <x:c r="O18" s="27" t="n">
        <x:f>O15+O16-O17</x:f>
        <x:v>788789.3333333333</x:v>
      </x:c>
      <x:c r="P18" s="27" t="n">
        <x:f>P15+P16-P17</x:f>
        <x:v>837066.6666666667</x:v>
      </x:c>
      <x:c r="Q18" s="27" t="n">
        <x:f>Q15+Q16-Q17</x:f>
        <x:v>898386.6666666667</x:v>
      </x:c>
      <x:c r="R18" s="2"/>
      <x:c r="S18" s="43" t="str">
        <x:v>Receivables + inventory − payables.</x:v>
      </x:c>
    </x:row>
    <x:row r="19" ht="27" customHeight="1">
      <x:c r="C19" s="2" t="str">
        <x:v>Opening net working capital</x:v>
      </x:c>
      <x:c r="D19" s="11" t="n">
        <x:f>F19</x:f>
        <x:v>390000</x:v>
      </x:c>
      <x:c r="E19" s="11"/>
      <x:c r="F19" s="11" t="n">
        <x:f>'Assumptions'!$D$31+'Assumptions'!$D$32-'Assumptions'!$D$33</x:f>
        <x:v>390000</x:v>
      </x:c>
      <x:c r="G19" s="11" t="n">
        <x:f>F18</x:f>
        <x:v>807866.6666666667</x:v>
      </x:c>
      <x:c r="H19" s="11" t="n">
        <x:f>G18</x:f>
        <x:v>856144</x:v>
      </x:c>
      <x:c r="I19" s="11" t="n">
        <x:f>H18</x:f>
        <x:v>881840</x:v>
      </x:c>
      <x:c r="J19" s="11" t="n">
        <x:f>I18</x:f>
        <x:v>881450.6666666667</x:v>
      </x:c>
      <x:c r="K19" s="11" t="n">
        <x:f>J18</x:f>
        <x:v>858480</x:v>
      </x:c>
      <x:c r="L19" s="11" t="n">
        <x:f>K18</x:f>
        <x:v>822466.6666666667</x:v>
      </x:c>
      <x:c r="M19" s="11" t="n">
        <x:f>L18</x:f>
        <x:v>786453.3333333333</x:v>
      </x:c>
      <x:c r="N19" s="11" t="n">
        <x:f>M18</x:f>
        <x:v>763482.6666666666</x:v>
      </x:c>
      <x:c r="O19" s="11" t="n">
        <x:f>N18</x:f>
        <x:v>763093.3333333334</x:v>
      </x:c>
      <x:c r="P19" s="11" t="n">
        <x:f>O18</x:f>
        <x:v>788789.3333333333</x:v>
      </x:c>
      <x:c r="Q19" s="11" t="n">
        <x:f>P18</x:f>
        <x:v>837066.6666666667</x:v>
      </x:c>
      <x:c r="R19" s="2"/>
      <x:c r="S19" s="43"/>
    </x:row>
    <x:row r="20" ht="27" customHeight="1">
      <x:c r="C20" s="28" t="str">
        <x:v>Change in net working capital</x:v>
      </x:c>
      <x:c r="D20" s="29" t="n">
        <x:f>SUM(F20:Q20)</x:f>
        <x:v>508386.66666666674</x:v>
      </x:c>
      <x:c r="E20" s="29"/>
      <x:c r="F20" s="29" t="n">
        <x:f>F18-F19</x:f>
        <x:v>417866.66666666674</x:v>
      </x:c>
      <x:c r="G20" s="29" t="n">
        <x:f>G18-G19</x:f>
        <x:v>48277.333333333256</x:v>
      </x:c>
      <x:c r="H20" s="29" t="n">
        <x:f>H18-H19</x:f>
        <x:v>25696</x:v>
      </x:c>
      <x:c r="I20" s="29" t="n">
        <x:f>I18-I19</x:f>
        <x:v>-389.3333333332557</x:v>
      </x:c>
      <x:c r="J20" s="29" t="n">
        <x:f>J18-J19</x:f>
        <x:v>-22970.666666666744</x:v>
      </x:c>
      <x:c r="K20" s="29" t="n">
        <x:f>K18-K19</x:f>
        <x:v>-36013.333333333256</x:v>
      </x:c>
      <x:c r="L20" s="29" t="n">
        <x:f>L18-L19</x:f>
        <x:v>-36013.33333333349</x:v>
      </x:c>
      <x:c r="M20" s="29" t="n">
        <x:f>M18-M19</x:f>
        <x:v>-22970.666666666628</x:v>
      </x:c>
      <x:c r="N20" s="29" t="n">
        <x:f>N18-N19</x:f>
        <x:v>-389.3333333332557</x:v>
      </x:c>
      <x:c r="O20" s="29" t="n">
        <x:f>O18-O19</x:f>
        <x:v>25695.999999999884</x:v>
      </x:c>
      <x:c r="P20" s="29" t="n">
        <x:f>P18-P19</x:f>
        <x:v>48277.33333333349</x:v>
      </x:c>
      <x:c r="Q20" s="29" t="n">
        <x:f>Q18-Q19</x:f>
        <x:v>61320</x:v>
      </x:c>
      <x:c r="R20" s="2"/>
      <x:c r="S20" s="43" t="str">
        <x:v>Closing NWC − opening NWC. An increase consumes cash.</x:v>
      </x:c>
    </x:row>
    <x:row r="21" ht="27" customHeight="1">
      <x:c r="C21" s="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2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2"/>
      <x:c r="S22" s="43"/>
    </x:row>
    <x:row r="23" ht="27" customHeight="1">
      <x:c r="C23" s="2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2"/>
      <x:c r="S23" s="43"/>
    </x:row>
    <x:row r="24" ht="27" customHeight="1">
      <x:c r="C24" s="14" t="str">
        <x:v>Actual and forecast working capital</x:v>
      </x:c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2"/>
      <x:c r="S24" s="43"/>
    </x:row>
    <x:row r="25" ht="27" customHeight="1">
      <x:c r="C25" s="2" t="str">
        <x:v>Revenue</x:v>
      </x:c>
      <x:c r="D25" s="11" t="n">
        <x:f>SUM(F25:Q25)</x:f>
        <x:v>7030936.373</x:v>
      </x:c>
      <x:c r="E25" s="11"/>
      <x:c r="F25" s="11" t="n">
        <x:f>'Forecast'!F10</x:f>
        <x:v>581400</x:v>
      </x:c>
      <x:c r="G25" s="11" t="n">
        <x:f>'Forecast'!G10</x:f>
        <x:v>581850</x:v>
      </x:c>
      <x:c r="H25" s="11" t="n">
        <x:f>'Forecast'!H10</x:f>
        <x:v>626775</x:v>
      </x:c>
      <x:c r="I25" s="11" t="n">
        <x:f>'Forecast'!I10</x:f>
        <x:v>591192</x:v>
      </x:c>
      <x:c r="J25" s="11" t="n">
        <x:f>'Forecast'!J10</x:f>
        <x:v>620724</x:v>
      </x:c>
      <x:c r="K25" s="11" t="n">
        <x:f>'Forecast'!K10</x:f>
        <x:v>573071</x:v>
      </x:c>
      <x:c r="L25" s="11" t="n">
        <x:f>'Forecast'!L10</x:f>
        <x:v>561871.08</x:v>
      </x:c>
      <x:c r="M25" s="11" t="n">
        <x:f>'Forecast'!M10</x:f>
        <x:v>545459.994</x:v>
      </x:c>
      <x:c r="N25" s="11" t="n">
        <x:f>'Forecast'!N10</x:f>
        <x:v>545181.84</x:v>
      </x:c>
      <x:c r="O25" s="11" t="n">
        <x:f>'Forecast'!O10</x:f>
        <x:v>563540.004</x:v>
      </x:c>
      <x:c r="P25" s="11" t="n">
        <x:f>'Forecast'!P10</x:f>
        <x:v>598031.1</x:v>
      </x:c>
      <x:c r="Q25" s="11" t="n">
        <x:f>'Forecast'!Q10</x:f>
        <x:v>641840.355</x:v>
      </x:c>
      <x:c r="R25" s="2"/>
      <x:c r="S25" s="43"/>
    </x:row>
    <x:row r="26" ht="27" customHeight="1">
      <x:c r="C26" s="2" t="str">
        <x:v>COGS</x:v>
      </x:c>
      <x:c r="D26" s="11" t="n">
        <x:f>SUM(F26:Q26)</x:f>
        <x:v>3703048.673</x:v>
      </x:c>
      <x:c r="E26" s="11"/>
      <x:c r="F26" s="11" t="n">
        <x:f>'Forecast'!F16</x:f>
        <x:v>299250</x:v>
      </x:c>
      <x:c r="G26" s="11" t="n">
        <x:f>'Forecast'!G16</x:f>
        <x:v>306010</x:v>
      </x:c>
      <x:c r="H26" s="11" t="n">
        <x:f>'Forecast'!H16</x:f>
        <x:v>333975</x:v>
      </x:c>
      <x:c r="I26" s="11" t="n">
        <x:f>'Forecast'!I16</x:f>
        <x:v>312984</x:v>
      </x:c>
      <x:c r="J26" s="11" t="n">
        <x:f>'Forecast'!J16</x:f>
        <x:v>332852</x:v>
      </x:c>
      <x:c r="K26" s="11" t="n">
        <x:f>'Forecast'!K16</x:f>
        <x:v>309542</x:v>
      </x:c>
      <x:c r="L26" s="11" t="n">
        <x:f>'Forecast'!L16</x:f>
        <x:v>294019.08</x:v>
      </x:c>
      <x:c r="M26" s="11" t="n">
        <x:f>'Forecast'!M16</x:f>
        <x:v>285431.394</x:v>
      </x:c>
      <x:c r="N26" s="11" t="n">
        <x:f>'Forecast'!N16</x:f>
        <x:v>285285.83999999997</x:v>
      </x:c>
      <x:c r="O26" s="11" t="n">
        <x:f>'Forecast'!O16</x:f>
        <x:v>294892.404</x:v>
      </x:c>
      <x:c r="P26" s="11" t="n">
        <x:f>'Forecast'!P16</x:f>
        <x:v>312941.1</x:v>
      </x:c>
      <x:c r="Q26" s="11" t="n">
        <x:f>'Forecast'!Q16</x:f>
        <x:v>335865.855</x:v>
      </x:c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 t="str">
        <x:v>Receivable days</x:v>
      </x:c>
      <x:c r="D28" s="11"/>
      <x:c r="E28" s="11"/>
      <x:c r="F28" s="11" t="n">
        <x:f>IF(F25=0,"n.a.",'Actuals'!F15/F25*'Assumptions'!$D$34)</x:f>
        <x:v>36</x:v>
      </x:c>
      <x:c r="G28" s="11" t="n">
        <x:f>IF(G25=0,"n.a.",'Actuals'!G15/G25*'Assumptions'!$D$34)</x:f>
        <x:v>36</x:v>
      </x:c>
      <x:c r="H28" s="11" t="n">
        <x:f>IF(H25=0,"n.a.",'Actuals'!H15/H25*'Assumptions'!$D$34)</x:f>
        <x:v>36</x:v>
      </x:c>
      <x:c r="I28" s="11" t="n">
        <x:f>IF(I25=0,"n.a.",'Actuals'!I15/I25*'Assumptions'!$D$34)</x:f>
        <x:v>36</x:v>
      </x:c>
      <x:c r="J28" s="11" t="n">
        <x:f>IF(J25=0,"n.a.",'Actuals'!J15/J25*'Assumptions'!$D$34)</x:f>
        <x:v>36.00000000000001</x:v>
      </x:c>
      <x:c r="K28" s="11" t="n">
        <x:f>IF(K25=0,"n.a.",'Actuals'!K15/K25*'Assumptions'!$D$34)</x:f>
        <x:v>36</x:v>
      </x:c>
      <x:c r="L28" s="11" t="n">
        <x:f>'Assumptions'!L16</x:f>
        <x:v>36</x:v>
      </x:c>
      <x:c r="M28" s="11" t="n">
        <x:f>'Assumptions'!M16</x:f>
        <x:v>36</x:v>
      </x:c>
      <x:c r="N28" s="11" t="n">
        <x:f>'Assumptions'!N16</x:f>
        <x:v>36</x:v>
      </x:c>
      <x:c r="O28" s="11" t="n">
        <x:f>'Assumptions'!O16</x:f>
        <x:v>36</x:v>
      </x:c>
      <x:c r="P28" s="11" t="n">
        <x:f>'Assumptions'!P16</x:f>
        <x:v>36</x:v>
      </x:c>
      <x:c r="Q28" s="11" t="n">
        <x:f>'Assumptions'!Q16</x:f>
        <x:v>36</x:v>
      </x:c>
      <x:c r="R28" s="2"/>
      <x:c r="S28" s="43"/>
    </x:row>
    <x:row r="29" ht="27" customHeight="1">
      <x:c r="C29" s="2" t="str">
        <x:v>Inventory days</x:v>
      </x:c>
      <x:c r="D29" s="11"/>
      <x:c r="E29" s="11"/>
      <x:c r="F29" s="11" t="n">
        <x:f>IF(F26=0,"n.a.",'Actuals'!F16/F26*'Assumptions'!$D$34)</x:f>
        <x:v>42</x:v>
      </x:c>
      <x:c r="G29" s="11" t="n">
        <x:f>IF(G26=0,"n.a.",'Actuals'!G16/G26*'Assumptions'!$D$34)</x:f>
        <x:v>42</x:v>
      </x:c>
      <x:c r="H29" s="11" t="n">
        <x:f>IF(H26=0,"n.a.",'Actuals'!H16/H26*'Assumptions'!$D$34)</x:f>
        <x:v>42</x:v>
      </x:c>
      <x:c r="I29" s="11" t="n">
        <x:f>IF(I26=0,"n.a.",'Actuals'!I16/I26*'Assumptions'!$D$34)</x:f>
        <x:v>42</x:v>
      </x:c>
      <x:c r="J29" s="11" t="n">
        <x:f>IF(J26=0,"n.a.",'Actuals'!J16/J26*'Assumptions'!$D$34)</x:f>
        <x:v>42</x:v>
      </x:c>
      <x:c r="K29" s="11" t="n">
        <x:f>IF(K26=0,"n.a.",'Actuals'!K16/K26*'Assumptions'!$D$34)</x:f>
        <x:v>42</x:v>
      </x:c>
      <x:c r="L29" s="11" t="n">
        <x:f>'Assumptions'!L17</x:f>
        <x:v>42</x:v>
      </x:c>
      <x:c r="M29" s="11" t="n">
        <x:f>'Assumptions'!M17</x:f>
        <x:v>42</x:v>
      </x:c>
      <x:c r="N29" s="11" t="n">
        <x:f>'Assumptions'!N17</x:f>
        <x:v>42</x:v>
      </x:c>
      <x:c r="O29" s="11" t="n">
        <x:f>'Assumptions'!O17</x:f>
        <x:v>42</x:v>
      </x:c>
      <x:c r="P29" s="11" t="n">
        <x:f>'Assumptions'!P17</x:f>
        <x:v>42</x:v>
      </x:c>
      <x:c r="Q29" s="11" t="n">
        <x:f>'Assumptions'!Q17</x:f>
        <x:v>42</x:v>
      </x:c>
      <x:c r="R29" s="2"/>
      <x:c r="S29" s="43"/>
    </x:row>
    <x:row r="30" ht="27" customHeight="1">
      <x:c r="C30" s="2" t="str">
        <x:v>Payable days</x:v>
      </x:c>
      <x:c r="D30" s="11"/>
      <x:c r="E30" s="11"/>
      <x:c r="F30" s="11" t="n">
        <x:f>IF(F26=0,"n.a.",'Actuals'!F17/F26*'Assumptions'!$D$34)</x:f>
        <x:v>28</x:v>
      </x:c>
      <x:c r="G30" s="11" t="n">
        <x:f>IF(G26=0,"n.a.",'Actuals'!G17/G26*'Assumptions'!$D$34)</x:f>
        <x:v>27.999999999999996</x:v>
      </x:c>
      <x:c r="H30" s="11" t="n">
        <x:f>IF(H26=0,"n.a.",'Actuals'!H17/H26*'Assumptions'!$D$34)</x:f>
        <x:v>28</x:v>
      </x:c>
      <x:c r="I30" s="11" t="n">
        <x:f>IF(I26=0,"n.a.",'Actuals'!I17/I26*'Assumptions'!$D$34)</x:f>
        <x:v>28.000000000000004</x:v>
      </x:c>
      <x:c r="J30" s="11" t="n">
        <x:f>IF(J26=0,"n.a.",'Actuals'!J17/J26*'Assumptions'!$D$34)</x:f>
        <x:v>27.999999999999996</x:v>
      </x:c>
      <x:c r="K30" s="11" t="n">
        <x:f>IF(K26=0,"n.a.",'Actuals'!K17/K26*'Assumptions'!$D$34)</x:f>
        <x:v>27.999999999999996</x:v>
      </x:c>
      <x:c r="L30" s="11" t="n">
        <x:f>'Assumptions'!L18</x:f>
        <x:v>28</x:v>
      </x:c>
      <x:c r="M30" s="11" t="n">
        <x:f>'Assumptions'!M18</x:f>
        <x:v>28</x:v>
      </x:c>
      <x:c r="N30" s="11" t="n">
        <x:f>'Assumptions'!N18</x:f>
        <x:v>28</x:v>
      </x:c>
      <x:c r="O30" s="11" t="n">
        <x:f>'Assumptions'!O18</x:f>
        <x:v>28</x:v>
      </x:c>
      <x:c r="P30" s="11" t="n">
        <x:f>'Assumptions'!P18</x:f>
        <x:v>28</x:v>
      </x:c>
      <x:c r="Q30" s="11" t="n">
        <x:f>'Assumptions'!Q18</x:f>
        <x:v>28</x:v>
      </x:c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 t="str">
        <x:v>Accounts receivable</x:v>
      </x:c>
      <x:c r="D32" s="11" t="n">
        <x:f>Q32</x:f>
        <x:v>770208.4260000001</x:v>
      </x:c>
      <x:c r="E32" s="11"/>
      <x:c r="F32" s="11" t="n">
        <x:f>'Actuals'!F15</x:f>
        <x:v>697680</x:v>
      </x:c>
      <x:c r="G32" s="11" t="n">
        <x:f>'Actuals'!G15</x:f>
        <x:v>698220</x:v>
      </x:c>
      <x:c r="H32" s="11" t="n">
        <x:f>'Actuals'!H15</x:f>
        <x:v>752130</x:v>
      </x:c>
      <x:c r="I32" s="11" t="n">
        <x:f>'Actuals'!I15</x:f>
        <x:v>709430.4</x:v>
      </x:c>
      <x:c r="J32" s="11" t="n">
        <x:f>'Actuals'!J15</x:f>
        <x:v>744868.8</x:v>
      </x:c>
      <x:c r="K32" s="11" t="n">
        <x:f>'Actuals'!K15</x:f>
        <x:v>687685.2</x:v>
      </x:c>
      <x:c r="L32" s="11" t="n">
        <x:f>L25*L28/'Assumptions'!$D$34</x:f>
        <x:v>674245.296</x:v>
      </x:c>
      <x:c r="M32" s="11" t="n">
        <x:f>M25*M28/'Assumptions'!$D$34</x:f>
        <x:v>654551.9927999999</x:v>
      </x:c>
      <x:c r="N32" s="11" t="n">
        <x:f>N25*N28/'Assumptions'!$D$34</x:f>
        <x:v>654218.208</x:v>
      </x:c>
      <x:c r="O32" s="11" t="n">
        <x:f>O25*O28/'Assumptions'!$D$34</x:f>
        <x:v>676248.0047999999</x:v>
      </x:c>
      <x:c r="P32" s="11" t="n">
        <x:f>P25*P28/'Assumptions'!$D$34</x:f>
        <x:v>717637.32</x:v>
      </x:c>
      <x:c r="Q32" s="11" t="n">
        <x:f>Q25*Q28/'Assumptions'!$D$34</x:f>
        <x:v>770208.4260000001</x:v>
      </x:c>
      <x:c r="R32" s="2"/>
      <x:c r="S32" s="43" t="str">
        <x:v>Revenue × receivable days ÷ 30.</x:v>
      </x:c>
    </x:row>
    <x:row r="33" ht="27" customHeight="1">
      <x:c r="C33" s="2" t="str">
        <x:v>Inventory</x:v>
      </x:c>
      <x:c r="D33" s="11" t="n">
        <x:f>Q33</x:f>
        <x:v>470212.197</x:v>
      </x:c>
      <x:c r="E33" s="11"/>
      <x:c r="F33" s="11" t="n">
        <x:f>'Actuals'!F16</x:f>
        <x:v>418950</x:v>
      </x:c>
      <x:c r="G33" s="11" t="n">
        <x:f>'Actuals'!G16</x:f>
        <x:v>428414</x:v>
      </x:c>
      <x:c r="H33" s="11" t="n">
        <x:f>'Actuals'!H16</x:f>
        <x:v>467565</x:v>
      </x:c>
      <x:c r="I33" s="11" t="n">
        <x:f>'Actuals'!I16</x:f>
        <x:v>438177.6</x:v>
      </x:c>
      <x:c r="J33" s="11" t="n">
        <x:f>'Actuals'!J16</x:f>
        <x:v>465992.8</x:v>
      </x:c>
      <x:c r="K33" s="11" t="n">
        <x:f>'Actuals'!K16</x:f>
        <x:v>433358.8</x:v>
      </x:c>
      <x:c r="L33" s="11" t="n">
        <x:f>L26*L29/'Assumptions'!$D$34</x:f>
        <x:v>411626.71200000006</x:v>
      </x:c>
      <x:c r="M33" s="11" t="n">
        <x:f>M26*M29/'Assumptions'!$D$34</x:f>
        <x:v>399603.9516</x:v>
      </x:c>
      <x:c r="N33" s="11" t="n">
        <x:f>N26*N29/'Assumptions'!$D$34</x:f>
        <x:v>399400.176</x:v>
      </x:c>
      <x:c r="O33" s="11" t="n">
        <x:f>O26*O29/'Assumptions'!$D$34</x:f>
        <x:v>412849.36559999996</x:v>
      </x:c>
      <x:c r="P33" s="11" t="n">
        <x:f>P26*P29/'Assumptions'!$D$34</x:f>
        <x:v>438117.54</x:v>
      </x:c>
      <x:c r="Q33" s="11" t="n">
        <x:f>Q26*Q29/'Assumptions'!$D$34</x:f>
        <x:v>470212.197</x:v>
      </x:c>
      <x:c r="R33" s="2"/>
      <x:c r="S33" s="43"/>
    </x:row>
    <x:row r="34" ht="27" customHeight="1">
      <x:c r="C34" s="2" t="str">
        <x:v>Accounts payable</x:v>
      </x:c>
      <x:c r="D34" s="11" t="n">
        <x:f>Q34</x:f>
        <x:v>313474.798</x:v>
      </x:c>
      <x:c r="E34" s="11"/>
      <x:c r="F34" s="11" t="n">
        <x:f>'Actuals'!F17</x:f>
        <x:v>279300</x:v>
      </x:c>
      <x:c r="G34" s="11" t="n">
        <x:f>'Actuals'!G17</x:f>
        <x:v>285609.3333333333</x:v>
      </x:c>
      <x:c r="H34" s="11" t="n">
        <x:f>'Actuals'!H17</x:f>
        <x:v>311710</x:v>
      </x:c>
      <x:c r="I34" s="11" t="n">
        <x:f>'Actuals'!I17</x:f>
        <x:v>292118.4</x:v>
      </x:c>
      <x:c r="J34" s="11" t="n">
        <x:f>'Actuals'!J17</x:f>
        <x:v>310661.86666666664</x:v>
      </x:c>
      <x:c r="K34" s="11" t="n">
        <x:f>'Actuals'!K17</x:f>
        <x:v>288905.86666666664</x:v>
      </x:c>
      <x:c r="L34" s="11" t="n">
        <x:f>L26*L30/'Assumptions'!$D$34</x:f>
        <x:v>274417.808</x:v>
      </x:c>
      <x:c r="M34" s="11" t="n">
        <x:f>M26*M30/'Assumptions'!$D$34</x:f>
        <x:v>266402.6344</x:v>
      </x:c>
      <x:c r="N34" s="11" t="n">
        <x:f>N26*N30/'Assumptions'!$D$34</x:f>
        <x:v>266266.784</x:v>
      </x:c>
      <x:c r="O34" s="11" t="n">
        <x:f>O26*O30/'Assumptions'!$D$34</x:f>
        <x:v>275232.9104</x:v>
      </x:c>
      <x:c r="P34" s="11" t="n">
        <x:f>P26*P30/'Assumptions'!$D$34</x:f>
        <x:v>292078.36</x:v>
      </x:c>
      <x:c r="Q34" s="11" t="n">
        <x:f>Q26*Q30/'Assumptions'!$D$34</x:f>
        <x:v>313474.798</x:v>
      </x:c>
      <x:c r="R34" s="2"/>
      <x:c r="S34" s="43"/>
    </x:row>
    <x:row r="35" ht="27" customHeight="1">
      <x:c r="C35" s="26" t="str">
        <x:v>Net working capital</x:v>
      </x:c>
      <x:c r="D35" s="27" t="n">
        <x:f>Q35</x:f>
        <x:v>926945.8250000002</x:v>
      </x:c>
      <x:c r="E35" s="27"/>
      <x:c r="F35" s="27" t="n">
        <x:f>F32+F33-F34</x:f>
        <x:v>837330</x:v>
      </x:c>
      <x:c r="G35" s="27" t="n">
        <x:f>G32+G33-G34</x:f>
        <x:v>841024.6666666667</x:v>
      </x:c>
      <x:c r="H35" s="27" t="n">
        <x:f>H32+H33-H34</x:f>
        <x:v>907985</x:v>
      </x:c>
      <x:c r="I35" s="27" t="n">
        <x:f>I32+I33-I34</x:f>
        <x:v>855489.6</x:v>
      </x:c>
      <x:c r="J35" s="27" t="n">
        <x:f>J32+J33-J34</x:f>
        <x:v>900199.7333333334</x:v>
      </x:c>
      <x:c r="K35" s="27" t="n">
        <x:f>K32+K33-K34</x:f>
        <x:v>832138.1333333333</x:v>
      </x:c>
      <x:c r="L35" s="27" t="n">
        <x:f>L32+L33-L34</x:f>
        <x:v>811454.2</x:v>
      </x:c>
      <x:c r="M35" s="27" t="n">
        <x:f>M32+M33-M34</x:f>
        <x:v>787753.3099999999</x:v>
      </x:c>
      <x:c r="N35" s="27" t="n">
        <x:f>N32+N33-N34</x:f>
        <x:v>787351.6000000001</x:v>
      </x:c>
      <x:c r="O35" s="27" t="n">
        <x:f>O32+O33-O34</x:f>
        <x:v>813864.46</x:v>
      </x:c>
      <x:c r="P35" s="27" t="n">
        <x:f>P32+P33-P34</x:f>
        <x:v>863676.4999999999</x:v>
      </x:c>
      <x:c r="Q35" s="27" t="n">
        <x:f>Q32+Q33-Q34</x:f>
        <x:v>926945.8250000002</x:v>
      </x:c>
      <x:c r="R35" s="2"/>
      <x:c r="S35" s="43" t="str">
        <x:v>Receivables + inventory − payables.</x:v>
      </x:c>
    </x:row>
    <x:row r="36" ht="27" customHeight="1">
      <x:c r="C36" s="2" t="str">
        <x:v>Opening net working capital</x:v>
      </x:c>
      <x:c r="D36" s="11" t="n">
        <x:f>F36</x:f>
        <x:v>390000</x:v>
      </x:c>
      <x:c r="E36" s="11"/>
      <x:c r="F36" s="11" t="n">
        <x:f>'Assumptions'!$D$31+'Assumptions'!$D$32-'Assumptions'!$D$33</x:f>
        <x:v>390000</x:v>
      </x:c>
      <x:c r="G36" s="11" t="n">
        <x:f>F35</x:f>
        <x:v>837330</x:v>
      </x:c>
      <x:c r="H36" s="11" t="n">
        <x:f>G35</x:f>
        <x:v>841024.6666666667</x:v>
      </x:c>
      <x:c r="I36" s="11" t="n">
        <x:f>H35</x:f>
        <x:v>907985</x:v>
      </x:c>
      <x:c r="J36" s="11" t="n">
        <x:f>I35</x:f>
        <x:v>855489.6</x:v>
      </x:c>
      <x:c r="K36" s="11" t="n">
        <x:f>J35</x:f>
        <x:v>900199.7333333334</x:v>
      </x:c>
      <x:c r="L36" s="11" t="n">
        <x:f>K35</x:f>
        <x:v>832138.1333333333</x:v>
      </x:c>
      <x:c r="M36" s="11" t="n">
        <x:f>L35</x:f>
        <x:v>811454.2</x:v>
      </x:c>
      <x:c r="N36" s="11" t="n">
        <x:f>M35</x:f>
        <x:v>787753.3099999999</x:v>
      </x:c>
      <x:c r="O36" s="11" t="n">
        <x:f>N35</x:f>
        <x:v>787351.6000000001</x:v>
      </x:c>
      <x:c r="P36" s="11" t="n">
        <x:f>O35</x:f>
        <x:v>813864.46</x:v>
      </x:c>
      <x:c r="Q36" s="11" t="n">
        <x:f>P35</x:f>
        <x:v>863676.4999999999</x:v>
      </x:c>
      <x:c r="R36" s="2"/>
      <x:c r="S36" s="43"/>
    </x:row>
    <x:row r="37" ht="27" customHeight="1">
      <x:c r="C37" s="28" t="str">
        <x:v>Change in net working capital</x:v>
      </x:c>
      <x:c r="D37" s="29" t="n">
        <x:f>SUM(F37:Q37)</x:f>
        <x:v>536945.8250000002</x:v>
      </x:c>
      <x:c r="E37" s="29"/>
      <x:c r="F37" s="29" t="n">
        <x:f>F35-F36</x:f>
        <x:v>447330</x:v>
      </x:c>
      <x:c r="G37" s="29" t="n">
        <x:f>G35-G36</x:f>
        <x:v>3694.6666666667443</x:v>
      </x:c>
      <x:c r="H37" s="29" t="n">
        <x:f>H35-H36</x:f>
        <x:v>66960.33333333326</x:v>
      </x:c>
      <x:c r="I37" s="29" t="n">
        <x:f>I35-I36</x:f>
        <x:v>-52495.40000000002</x:v>
      </x:c>
      <x:c r="J37" s="29" t="n">
        <x:f>J35-J36</x:f>
        <x:v>44710.13333333342</x:v>
      </x:c>
      <x:c r="K37" s="29" t="n">
        <x:f>K35-K36</x:f>
        <x:v>-68061.6000000001</x:v>
      </x:c>
      <x:c r="L37" s="29" t="n">
        <x:f>L35-L36</x:f>
        <x:v>-20683.93333333335</x:v>
      </x:c>
      <x:c r="M37" s="29" t="n">
        <x:f>M35-M36</x:f>
        <x:v>-23700.890000000014</x:v>
      </x:c>
      <x:c r="N37" s="29" t="n">
        <x:f>N35-N36</x:f>
        <x:v>-401.70999999984633</x:v>
      </x:c>
      <x:c r="O37" s="29" t="n">
        <x:f>O35-O36</x:f>
        <x:v>26512.85999999987</x:v>
      </x:c>
      <x:c r="P37" s="29" t="n">
        <x:f>P35-P36</x:f>
        <x:v>49812.03999999992</x:v>
      </x:c>
      <x:c r="Q37" s="29" t="n">
        <x:f>Q35-Q36</x:f>
        <x:v>63269.3250000003</x:v>
      </x:c>
      <x:c r="R37" s="2"/>
      <x:c r="S37" s="43" t="str">
        <x:v>Closing NWC − opening NWC. An increase consumes cash.</x:v>
      </x:c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 t="str">
        <x:v>Inventory and payables use COGS as a simplified run-rate basis. Actual balances are fixed observations.</x:v>
      </x:c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CapEx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14" t="str">
        <x:v>Capital spending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Budget equipment spending</x:v>
      </x:c>
      <x:c r="D8" s="11" t="n">
        <x:f>SUM(F8:Q8)</x:f>
        <x:v>360000</x:v>
      </x:c>
      <x:c r="E8" s="11"/>
      <x:c r="F8" s="17" t="n">
        <x:v>30000</x:v>
      </x:c>
      <x:c r="G8" s="17" t="n">
        <x:v>30000</x:v>
      </x:c>
      <x:c r="H8" s="17" t="n">
        <x:v>30000</x:v>
      </x:c>
      <x:c r="I8" s="17" t="n">
        <x:v>30000</x:v>
      </x:c>
      <x:c r="J8" s="17" t="n">
        <x:v>30000</x:v>
      </x:c>
      <x:c r="K8" s="17" t="n">
        <x:v>30000</x:v>
      </x:c>
      <x:c r="L8" s="17" t="n">
        <x:v>30000</x:v>
      </x:c>
      <x:c r="M8" s="17" t="n">
        <x:v>30000</x:v>
      </x:c>
      <x:c r="N8" s="17" t="n">
        <x:v>30000</x:v>
      </x:c>
      <x:c r="O8" s="17" t="n">
        <x:v>30000</x:v>
      </x:c>
      <x:c r="P8" s="17" t="n">
        <x:v>30000</x:v>
      </x:c>
      <x:c r="Q8" s="17" t="n">
        <x:v>30000</x:v>
      </x:c>
      <x:c r="R8" s="2"/>
      <x:c r="S8" s="43"/>
    </x:row>
    <x:row r="9" ht="27" customHeight="1">
      <x:c r="C9" s="28" t="str">
        <x:v>Actual / forecast equipment spending</x:v>
      </x:c>
      <x:c r="D9" s="29" t="n">
        <x:f>SUM(F9:Q9)</x:f>
        <x:v>369000</x:v>
      </x:c>
      <x:c r="E9" s="29"/>
      <x:c r="F9" s="29" t="n">
        <x:f>'Actuals'!F14</x:f>
        <x:v>31500</x:v>
      </x:c>
      <x:c r="G9" s="29" t="n">
        <x:f>'Actuals'!G14</x:f>
        <x:v>31500</x:v>
      </x:c>
      <x:c r="H9" s="29" t="n">
        <x:f>'Actuals'!H14</x:f>
        <x:v>31500</x:v>
      </x:c>
      <x:c r="I9" s="29" t="n">
        <x:f>'Actuals'!I14</x:f>
        <x:v>31500</x:v>
      </x:c>
      <x:c r="J9" s="29" t="n">
        <x:f>'Actuals'!J14</x:f>
        <x:v>31500</x:v>
      </x:c>
      <x:c r="K9" s="29" t="n">
        <x:f>'Actuals'!K14</x:f>
        <x:v>31500</x:v>
      </x:c>
      <x:c r="L9" s="34" t="n">
        <x:v>30000</x:v>
      </x:c>
      <x:c r="M9" s="34" t="n">
        <x:v>30000</x:v>
      </x:c>
      <x:c r="N9" s="34" t="n">
        <x:v>30000</x:v>
      </x:c>
      <x:c r="O9" s="34" t="n">
        <x:v>30000</x:v>
      </x:c>
      <x:c r="P9" s="34" t="n">
        <x:v>30000</x:v>
      </x:c>
      <x:c r="Q9" s="34" t="n">
        <x:v>30000</x:v>
      </x:c>
      <x:c r="R9" s="2"/>
      <x:c r="S9" s="43" t="str">
        <x:v>Cash paid for equipment. Forecast months can be edited.</x:v>
      </x:c>
    </x:row>
    <x:row r="10" ht="27" customHeight="1">
      <x:c r="C10" s="2" t="str">
        <x:v>Spend variance (outlook − budget)</x:v>
      </x:c>
      <x:c r="D10" s="11" t="n">
        <x:f>SUM(F10:Q10)</x:f>
        <x:v>9000</x:v>
      </x:c>
      <x:c r="E10" s="11"/>
      <x:c r="F10" s="11" t="n">
        <x:f>F9-F8</x:f>
        <x:v>1500</x:v>
      </x:c>
      <x:c r="G10" s="11" t="n">
        <x:f>G9-G8</x:f>
        <x:v>1500</x:v>
      </x:c>
      <x:c r="H10" s="11" t="n">
        <x:f>H9-H8</x:f>
        <x:v>1500</x:v>
      </x:c>
      <x:c r="I10" s="11" t="n">
        <x:f>I9-I8</x:f>
        <x:v>1500</x:v>
      </x:c>
      <x:c r="J10" s="11" t="n">
        <x:f>J9-J8</x:f>
        <x:v>1500</x:v>
      </x:c>
      <x:c r="K10" s="11" t="n">
        <x:f>K9-K8</x:f>
        <x:v>1500</x:v>
      </x:c>
      <x:c r="L10" s="11" t="n">
        <x:f>L9-L8</x:f>
        <x:v>0</x:v>
      </x:c>
      <x:c r="M10" s="11" t="n">
        <x:f>M9-M8</x:f>
        <x:v>0</x:v>
      </x:c>
      <x:c r="N10" s="11" t="n">
        <x:f>N9-N8</x:f>
        <x:v>0</x:v>
      </x:c>
      <x:c r="O10" s="11" t="n">
        <x:f>O9-O8</x:f>
        <x:v>0</x:v>
      </x:c>
      <x:c r="P10" s="11" t="n">
        <x:f>P9-P8</x:f>
        <x:v>0</x:v>
      </x:c>
      <x:c r="Q10" s="11" t="n">
        <x:f>Q9-Q8</x:f>
        <x:v>0</x:v>
      </x:c>
      <x:c r="R10" s="2"/>
      <x:c r="S10" s="43"/>
    </x:row>
    <x:row r="11" ht="27" customHeight="1">
      <x:c r="C11" s="2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Cumulative budget CapEx</x:v>
      </x:c>
      <x:c r="D12" s="11" t="n">
        <x:f>Q12</x:f>
        <x:v>360000</x:v>
      </x:c>
      <x:c r="E12" s="11"/>
      <x:c r="F12" s="11" t="n">
        <x:f>SUM($F8:F8)</x:f>
        <x:v>30000</x:v>
      </x:c>
      <x:c r="G12" s="11" t="n">
        <x:f>SUM($F8:G8)</x:f>
        <x:v>60000</x:v>
      </x:c>
      <x:c r="H12" s="11" t="n">
        <x:f>SUM($F8:H8)</x:f>
        <x:v>90000</x:v>
      </x:c>
      <x:c r="I12" s="11" t="n">
        <x:f>SUM($F8:I8)</x:f>
        <x:v>120000</x:v>
      </x:c>
      <x:c r="J12" s="11" t="n">
        <x:f>SUM($F8:J8)</x:f>
        <x:v>150000</x:v>
      </x:c>
      <x:c r="K12" s="11" t="n">
        <x:f>SUM($F8:K8)</x:f>
        <x:v>180000</x:v>
      </x:c>
      <x:c r="L12" s="11" t="n">
        <x:f>SUM($F8:L8)</x:f>
        <x:v>210000</x:v>
      </x:c>
      <x:c r="M12" s="11" t="n">
        <x:f>SUM($F8:M8)</x:f>
        <x:v>240000</x:v>
      </x:c>
      <x:c r="N12" s="11" t="n">
        <x:f>SUM($F8:N8)</x:f>
        <x:v>270000</x:v>
      </x:c>
      <x:c r="O12" s="11" t="n">
        <x:f>SUM($F8:O8)</x:f>
        <x:v>300000</x:v>
      </x:c>
      <x:c r="P12" s="11" t="n">
        <x:f>SUM($F8:P8)</x:f>
        <x:v>330000</x:v>
      </x:c>
      <x:c r="Q12" s="11" t="n">
        <x:f>SUM($F8:Q8)</x:f>
        <x:v>360000</x:v>
      </x:c>
      <x:c r="R12" s="2"/>
      <x:c r="S12" s="43"/>
    </x:row>
    <x:row r="13" ht="27" customHeight="1">
      <x:c r="C13" s="2" t="str">
        <x:v>Cumulative actual / forecast CapEx</x:v>
      </x:c>
      <x:c r="D13" s="11" t="n">
        <x:f>Q13</x:f>
        <x:v>369000</x:v>
      </x:c>
      <x:c r="E13" s="11"/>
      <x:c r="F13" s="11" t="n">
        <x:f>SUM($F9:F9)</x:f>
        <x:v>31500</x:v>
      </x:c>
      <x:c r="G13" s="11" t="n">
        <x:f>SUM($F9:G9)</x:f>
        <x:v>63000</x:v>
      </x:c>
      <x:c r="H13" s="11" t="n">
        <x:f>SUM($F9:H9)</x:f>
        <x:v>94500</x:v>
      </x:c>
      <x:c r="I13" s="11" t="n">
        <x:f>SUM($F9:I9)</x:f>
        <x:v>126000</x:v>
      </x:c>
      <x:c r="J13" s="11" t="n">
        <x:f>SUM($F9:J9)</x:f>
        <x:v>157500</x:v>
      </x:c>
      <x:c r="K13" s="11" t="n">
        <x:f>SUM($F9:K9)</x:f>
        <x:v>189000</x:v>
      </x:c>
      <x:c r="L13" s="11" t="n">
        <x:f>SUM($F9:L9)</x:f>
        <x:v>219000</x:v>
      </x:c>
      <x:c r="M13" s="11" t="n">
        <x:f>SUM($F9:M9)</x:f>
        <x:v>249000</x:v>
      </x:c>
      <x:c r="N13" s="11" t="n">
        <x:f>SUM($F9:N9)</x:f>
        <x:v>279000</x:v>
      </x:c>
      <x:c r="O13" s="11" t="n">
        <x:f>SUM($F9:O9)</x:f>
        <x:v>309000</x:v>
      </x:c>
      <x:c r="P13" s="11" t="n">
        <x:f>SUM($F9:P9)</x:f>
        <x:v>339000</x:v>
      </x:c>
      <x:c r="Q13" s="11" t="n">
        <x:f>SUM($F9:Q9)</x:f>
        <x:v>369000</x:v>
      </x:c>
      <x:c r="R13" s="2"/>
      <x:c r="S13" s="43"/>
    </x:row>
    <x:row r="14" ht="27" customHeight="1">
      <x:c r="C14" s="2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2"/>
      <x:c r="S14" s="43"/>
    </x:row>
    <x:row r="15" ht="27" customHeight="1">
      <x:c r="C15" s="2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2"/>
      <x:c r="S15" s="43"/>
    </x:row>
    <x:row r="16" ht="27" customHeight="1">
      <x:c r="C16" s="2" t="str">
        <x:v>CapEx reduces cash when paid. It is not an EBITDA expense. This model does not calculate depreciation or net income.</x:v>
      </x:c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2"/>
      <x:c r="S16" s="43"/>
    </x:row>
    <x:row r="17" ht="27" customHeight="1">
      <x:c r="C17" s="2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2"/>
      <x:c r="S17" s="43"/>
    </x:row>
    <x:row r="18" ht="27" customHeight="1">
      <x:c r="C18" s="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2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2"/>
      <x:c r="S22" s="43"/>
    </x:row>
    <x:row r="23" ht="27" customHeight="1">
      <x:c r="C23" s="2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2"/>
      <x:c r="S23" s="43"/>
    </x:row>
    <x:row r="24" ht="27" customHeight="1">
      <x:c r="C24" s="2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2"/>
      <x:c r="S24" s="43"/>
    </x:row>
    <x:row r="25" ht="27" customHeight="1">
      <x:c r="C25" s="2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2"/>
      <x:c r="S25" s="43"/>
    </x:row>
    <x:row r="26" ht="27" customHeight="1">
      <x:c r="C26" s="2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7" customHeight="1">
      <x:c r="C29" s="2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Cash flow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2027 / year-end</x:v>
      </x:c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14" t="str">
        <x:v>Budget cash forecast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EBITDA</x:v>
      </x:c>
      <x:c r="D8" s="11" t="n">
        <x:f>SUM(F8:Q8)</x:f>
        <x:v>348849.75</x:v>
      </x:c>
      <x:c r="E8" s="11"/>
      <x:c r="F8" s="11" t="n">
        <x:f>'Budget'!F27</x:f>
        <x:v>27141.25</x:v>
      </x:c>
      <x:c r="G8" s="11" t="n">
        <x:f>'Budget'!G27</x:f>
        <x:v>42089.45</x:v>
      </x:c>
      <x:c r="H8" s="11" t="n">
        <x:f>'Budget'!H27</x:f>
        <x:v>45845.75</x:v>
      </x:c>
      <x:c r="I8" s="11" t="n">
        <x:f>'Budget'!I27</x:f>
        <x:v>41525.2</x:v>
      </x:c>
      <x:c r="J8" s="11" t="n">
        <x:f>'Budget'!J27</x:f>
        <x:v>34412.75</x:v>
      </x:c>
      <x:c r="K8" s="11" t="n">
        <x:f>'Budget'!K27</x:f>
        <x:v>27461.875</x:v>
      </x:c>
      <x:c r="L8" s="11" t="n">
        <x:f>'Budget'!L27</x:f>
        <x:v>20511</x:v>
      </x:c>
      <x:c r="M8" s="11" t="n">
        <x:f>'Budget'!M27</x:f>
        <x:v>13398.550000000003</x:v>
      </x:c>
      <x:c r="N8" s="11" t="n">
        <x:f>'Budget'!N27</x:f>
        <x:v>9078</x:v>
      </x:c>
      <x:c r="O8" s="11" t="n">
        <x:f>'Budget'!O27</x:f>
        <x:v>12834.300000000003</x:v>
      </x:c>
      <x:c r="P8" s="11" t="n">
        <x:f>'Budget'!P27</x:f>
        <x:v>27782.5</x:v>
      </x:c>
      <x:c r="Q8" s="11" t="n">
        <x:f>'Budget'!Q27</x:f>
        <x:v>46769.125</x:v>
      </x:c>
      <x:c r="R8" s="2"/>
      <x:c r="S8" s="43"/>
    </x:row>
    <x:row r="9" ht="27" customHeight="1">
      <x:c r="C9" s="2" t="str">
        <x:v>Less: increase in NWC</x:v>
      </x:c>
      <x:c r="D9" s="11" t="n">
        <x:f>SUM(F9:Q9)</x:f>
        <x:v>508386.66666666674</x:v>
      </x:c>
      <x:c r="E9" s="11"/>
      <x:c r="F9" s="11" t="n">
        <x:f>'Working capital'!F20</x:f>
        <x:v>417866.66666666674</x:v>
      </x:c>
      <x:c r="G9" s="11" t="n">
        <x:f>'Working capital'!G20</x:f>
        <x:v>48277.333333333256</x:v>
      </x:c>
      <x:c r="H9" s="11" t="n">
        <x:f>'Working capital'!H20</x:f>
        <x:v>25696</x:v>
      </x:c>
      <x:c r="I9" s="11" t="n">
        <x:f>'Working capital'!I20</x:f>
        <x:v>-389.3333333332557</x:v>
      </x:c>
      <x:c r="J9" s="11" t="n">
        <x:f>'Working capital'!J20</x:f>
        <x:v>-22970.666666666744</x:v>
      </x:c>
      <x:c r="K9" s="11" t="n">
        <x:f>'Working capital'!K20</x:f>
        <x:v>-36013.333333333256</x:v>
      </x:c>
      <x:c r="L9" s="11" t="n">
        <x:f>'Working capital'!L20</x:f>
        <x:v>-36013.33333333349</x:v>
      </x:c>
      <x:c r="M9" s="11" t="n">
        <x:f>'Working capital'!M20</x:f>
        <x:v>-22970.666666666628</x:v>
      </x:c>
      <x:c r="N9" s="11" t="n">
        <x:f>'Working capital'!N20</x:f>
        <x:v>-389.3333333332557</x:v>
      </x:c>
      <x:c r="O9" s="11" t="n">
        <x:f>'Working capital'!O20</x:f>
        <x:v>25695.999999999884</x:v>
      </x:c>
      <x:c r="P9" s="11" t="n">
        <x:f>'Working capital'!P20</x:f>
        <x:v>48277.33333333349</x:v>
      </x:c>
      <x:c r="Q9" s="11" t="n">
        <x:f>'Working capital'!Q20</x:f>
        <x:v>61320</x:v>
      </x:c>
      <x:c r="R9" s="2"/>
      <x:c r="S9" s="43"/>
    </x:row>
    <x:row r="10" ht="27" customHeight="1">
      <x:c r="C10" s="2" t="str">
        <x:v>Operating cash before tax / financing</x:v>
      </x:c>
      <x:c r="D10" s="11" t="n">
        <x:f>SUM(F10:Q10)</x:f>
        <x:v>-159536.91666666672</x:v>
      </x:c>
      <x:c r="E10" s="11"/>
      <x:c r="F10" s="11" t="n">
        <x:f>F8-F9</x:f>
        <x:v>-390725.41666666674</x:v>
      </x:c>
      <x:c r="G10" s="11" t="n">
        <x:f>G8-G9</x:f>
        <x:v>-6187.883333333259</x:v>
      </x:c>
      <x:c r="H10" s="11" t="n">
        <x:f>H8-H9</x:f>
        <x:v>20149.75</x:v>
      </x:c>
      <x:c r="I10" s="11" t="n">
        <x:f>I8-I9</x:f>
        <x:v>41914.53333333325</x:v>
      </x:c>
      <x:c r="J10" s="11" t="n">
        <x:f>J8-J9</x:f>
        <x:v>57383.416666666744</x:v>
      </x:c>
      <x:c r="K10" s="11" t="n">
        <x:f>K8-K9</x:f>
        <x:v>63475.208333333256</x:v>
      </x:c>
      <x:c r="L10" s="11" t="n">
        <x:f>L8-L9</x:f>
        <x:v>56524.33333333349</x:v>
      </x:c>
      <x:c r="M10" s="11" t="n">
        <x:f>M8-M9</x:f>
        <x:v>36369.21666666663</x:v>
      </x:c>
      <x:c r="N10" s="11" t="n">
        <x:f>N8-N9</x:f>
        <x:v>9467.333333333256</x:v>
      </x:c>
      <x:c r="O10" s="11" t="n">
        <x:f>O8-O9</x:f>
        <x:v>-12861.69999999988</x:v>
      </x:c>
      <x:c r="P10" s="11" t="n">
        <x:f>P8-P9</x:f>
        <x:v>-20494.83333333349</x:v>
      </x:c>
      <x:c r="Q10" s="11" t="n">
        <x:f>Q8-Q9</x:f>
        <x:v>-14550.875</x:v>
      </x:c>
      <x:c r="R10" s="2"/>
      <x:c r="S10" s="43"/>
    </x:row>
    <x:row r="11" ht="27" customHeight="1">
      <x:c r="C11" s="2" t="str">
        <x:v>Less: CapEx</x:v>
      </x:c>
      <x:c r="D11" s="11" t="n">
        <x:f>SUM(F11:Q11)</x:f>
        <x:v>360000</x:v>
      </x:c>
      <x:c r="E11" s="11"/>
      <x:c r="F11" s="11" t="n">
        <x:f>'CapEx'!F8</x:f>
        <x:v>30000</x:v>
      </x:c>
      <x:c r="G11" s="11" t="n">
        <x:f>'CapEx'!G8</x:f>
        <x:v>30000</x:v>
      </x:c>
      <x:c r="H11" s="11" t="n">
        <x:f>'CapEx'!H8</x:f>
        <x:v>30000</x:v>
      </x:c>
      <x:c r="I11" s="11" t="n">
        <x:f>'CapEx'!I8</x:f>
        <x:v>30000</x:v>
      </x:c>
      <x:c r="J11" s="11" t="n">
        <x:f>'CapEx'!J8</x:f>
        <x:v>30000</x:v>
      </x:c>
      <x:c r="K11" s="11" t="n">
        <x:f>'CapEx'!K8</x:f>
        <x:v>30000</x:v>
      </x:c>
      <x:c r="L11" s="11" t="n">
        <x:f>'CapEx'!L8</x:f>
        <x:v>30000</x:v>
      </x:c>
      <x:c r="M11" s="11" t="n">
        <x:f>'CapEx'!M8</x:f>
        <x:v>30000</x:v>
      </x:c>
      <x:c r="N11" s="11" t="n">
        <x:f>'CapEx'!N8</x:f>
        <x:v>30000</x:v>
      </x:c>
      <x:c r="O11" s="11" t="n">
        <x:f>'CapEx'!O8</x:f>
        <x:v>30000</x:v>
      </x:c>
      <x:c r="P11" s="11" t="n">
        <x:f>'CapEx'!P8</x:f>
        <x:v>30000</x:v>
      </x:c>
      <x:c r="Q11" s="11" t="n">
        <x:f>'CapEx'!Q8</x:f>
        <x:v>30000</x:v>
      </x:c>
      <x:c r="R11" s="2"/>
      <x:c r="S11" s="43"/>
    </x:row>
    <x:row r="12" ht="27" customHeight="1">
      <x:c r="C12" s="26" t="str">
        <x:v>Free cash before tax / financing</x:v>
      </x:c>
      <x:c r="D12" s="27" t="n">
        <x:f>SUM(F12:Q12)</x:f>
        <x:v>-519536.91666666674</x:v>
      </x:c>
      <x:c r="E12" s="27"/>
      <x:c r="F12" s="27" t="n">
        <x:f>F10-F11</x:f>
        <x:v>-420725.41666666674</x:v>
      </x:c>
      <x:c r="G12" s="27" t="n">
        <x:f>G10-G11</x:f>
        <x:v>-36187.88333333326</x:v>
      </x:c>
      <x:c r="H12" s="27" t="n">
        <x:f>H10-H11</x:f>
        <x:v>-9850.25</x:v>
      </x:c>
      <x:c r="I12" s="27" t="n">
        <x:f>I10-I11</x:f>
        <x:v>11914.533333333253</x:v>
      </x:c>
      <x:c r="J12" s="27" t="n">
        <x:f>J10-J11</x:f>
        <x:v>27383.416666666744</x:v>
      </x:c>
      <x:c r="K12" s="27" t="n">
        <x:f>K10-K11</x:f>
        <x:v>33475.208333333256</x:v>
      </x:c>
      <x:c r="L12" s="27" t="n">
        <x:f>L10-L11</x:f>
        <x:v>26524.33333333349</x:v>
      </x:c>
      <x:c r="M12" s="27" t="n">
        <x:f>M10-M11</x:f>
        <x:v>6369.216666666631</x:v>
      </x:c>
      <x:c r="N12" s="27" t="n">
        <x:f>N10-N11</x:f>
        <x:v>-20532.666666666744</x:v>
      </x:c>
      <x:c r="O12" s="27" t="n">
        <x:f>O10-O11</x:f>
        <x:v>-42861.69999999988</x:v>
      </x:c>
      <x:c r="P12" s="27" t="n">
        <x:f>P10-P11</x:f>
        <x:v>-50494.83333333349</x:v>
      </x:c>
      <x:c r="Q12" s="27" t="n">
        <x:f>Q10-Q11</x:f>
        <x:v>-44550.875</x:v>
      </x:c>
      <x:c r="R12" s="2"/>
      <x:c r="S12" s="43"/>
    </x:row>
    <x:row r="13" ht="27" customHeight="1">
      <x:c r="C13" s="2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2"/>
      <x:c r="S13" s="43"/>
    </x:row>
    <x:row r="14" ht="27" customHeight="1">
      <x:c r="C14" s="2" t="str">
        <x:v>Opening cash</x:v>
      </x:c>
      <x:c r="D14" s="11" t="n">
        <x:f>F14</x:f>
        <x:v>750000</x:v>
      </x:c>
      <x:c r="E14" s="11"/>
      <x:c r="F14" s="11" t="n">
        <x:f>'Assumptions'!$D$30</x:f>
        <x:v>750000</x:v>
      </x:c>
      <x:c r="G14" s="11" t="n">
        <x:f>F15</x:f>
        <x:v>329274.58333333326</x:v>
      </x:c>
      <x:c r="H14" s="11" t="n">
        <x:f>G15</x:f>
        <x:v>293086.7</x:v>
      </x:c>
      <x:c r="I14" s="11" t="n">
        <x:f>H15</x:f>
        <x:v>283236.45</x:v>
      </x:c>
      <x:c r="J14" s="11" t="n">
        <x:f>I15</x:f>
        <x:v>295150.9833333333</x:v>
      </x:c>
      <x:c r="K14" s="11" t="n">
        <x:f>J15</x:f>
        <x:v>322534.4</x:v>
      </x:c>
      <x:c r="L14" s="11" t="n">
        <x:f>K15</x:f>
        <x:v>356009.6083333333</x:v>
      </x:c>
      <x:c r="M14" s="11" t="n">
        <x:f>L15</x:f>
        <x:v>382533.94166666677</x:v>
      </x:c>
      <x:c r="N14" s="11" t="n">
        <x:f>M15</x:f>
        <x:v>388903.1583333334</x:v>
      </x:c>
      <x:c r="O14" s="11" t="n">
        <x:f>N15</x:f>
        <x:v>368370.49166666664</x:v>
      </x:c>
      <x:c r="P14" s="11" t="n">
        <x:f>O15</x:f>
        <x:v>325508.79166666674</x:v>
      </x:c>
      <x:c r="Q14" s="11" t="n">
        <x:f>P15</x:f>
        <x:v>275013.95833333326</x:v>
      </x:c>
      <x:c r="R14" s="2"/>
      <x:c r="S14" s="43"/>
    </x:row>
    <x:row r="15" ht="27" customHeight="1">
      <x:c r="C15" s="28" t="str">
        <x:v>Ending cash</x:v>
      </x:c>
      <x:c r="D15" s="29" t="n">
        <x:f>Q15</x:f>
        <x:v>230463.08333333326</x:v>
      </x:c>
      <x:c r="E15" s="29"/>
      <x:c r="F15" s="29" t="n">
        <x:f>F14+F12</x:f>
        <x:v>329274.58333333326</x:v>
      </x:c>
      <x:c r="G15" s="29" t="n">
        <x:f>G14+G12</x:f>
        <x:v>293086.7</x:v>
      </x:c>
      <x:c r="H15" s="29" t="n">
        <x:f>H14+H12</x:f>
        <x:v>283236.45</x:v>
      </x:c>
      <x:c r="I15" s="29" t="n">
        <x:f>I14+I12</x:f>
        <x:v>295150.9833333333</x:v>
      </x:c>
      <x:c r="J15" s="29" t="n">
        <x:f>J14+J12</x:f>
        <x:v>322534.4</x:v>
      </x:c>
      <x:c r="K15" s="29" t="n">
        <x:f>K14+K12</x:f>
        <x:v>356009.6083333333</x:v>
      </x:c>
      <x:c r="L15" s="29" t="n">
        <x:f>L14+L12</x:f>
        <x:v>382533.94166666677</x:v>
      </x:c>
      <x:c r="M15" s="29" t="n">
        <x:f>M14+M12</x:f>
        <x:v>388903.1583333334</x:v>
      </x:c>
      <x:c r="N15" s="29" t="n">
        <x:f>N14+N12</x:f>
        <x:v>368370.49166666664</x:v>
      </x:c>
      <x:c r="O15" s="29" t="n">
        <x:f>O14+O12</x:f>
        <x:v>325508.79166666674</x:v>
      </x:c>
      <x:c r="P15" s="29" t="n">
        <x:f>P14+P12</x:f>
        <x:v>275013.95833333326</x:v>
      </x:c>
      <x:c r="Q15" s="29" t="n">
        <x:f>Q14+Q12</x:f>
        <x:v>230463.08333333326</x:v>
      </x:c>
      <x:c r="R15" s="2"/>
      <x:c r="S15" s="43" t="str">
        <x:v>Opening cash + current-month free cash flow.</x:v>
      </x:c>
    </x:row>
    <x:row r="16" ht="27" customHeight="1">
      <x:c r="C16" s="2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2"/>
      <x:c r="S16" s="43"/>
    </x:row>
    <x:row r="17" ht="27" customHeight="1">
      <x:c r="C17" s="2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2"/>
      <x:c r="S17" s="43"/>
    </x:row>
    <x:row r="18" ht="27" customHeight="1">
      <x:c r="C18" s="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14" t="str">
        <x:v>Actual and forecast cash</x:v>
      </x:c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2"/>
      <x:c r="S21" s="43"/>
    </x:row>
    <x:row r="22" ht="27" customHeight="1">
      <x:c r="C22" s="2" t="str">
        <x:v>EBITDA</x:v>
      </x:c>
      <x:c r="D22" s="11" t="n">
        <x:f>SUM(F22:Q22)</x:f>
        <x:v>226662.9269449999</x:v>
      </x:c>
      <x:c r="E22" s="11"/>
      <x:c r="F22" s="11" t="n">
        <x:f>'Forecast'!F27</x:f>
        <x:v>36021</x:v>
      </x:c>
      <x:c r="G22" s="11" t="n">
        <x:f>'Forecast'!G27</x:f>
        <x:v>25453.25</x:v>
      </x:c>
      <x:c r="H22" s="11" t="n">
        <x:f>'Forecast'!H27</x:f>
        <x:v>36598.875</x:v>
      </x:c>
      <x:c r="I22" s="11" t="n">
        <x:f>'Forecast'!I27</x:f>
        <x:v>19010.28</x:v>
      </x:c>
      <x:c r="J22" s="11" t="n">
        <x:f>'Forecast'!J27</x:f>
        <x:v>27640.660000000003</x:v>
      </x:c>
      <x:c r="K22" s="11" t="n">
        <x:f>'Forecast'!K27</x:f>
        <x:v>9207.515</x:v>
      </x:c>
      <x:c r="L22" s="11" t="n">
        <x:f>'Forecast'!L27</x:f>
        <x:v>15686.51219999994</x:v>
      </x:c>
      <x:c r="M22" s="11" t="n">
        <x:f>'Forecast'!M27</x:f>
        <x:v>4237.500209999969</x:v>
      </x:c>
      <x:c r="N22" s="11" t="n">
        <x:f>'Forecast'!N27</x:f>
        <x:v>-85.36440000000584</x:v>
      </x:c>
      <x:c r="O22" s="11" t="n">
        <x:f>'Forecast'!O27</x:f>
        <x:v>3823.699859999979</x:v>
      </x:c>
      <x:c r="P22" s="11" t="n">
        <x:f>'Forecast'!P27</x:f>
        <x:v>14858.911500000002</x:v>
      </x:c>
      <x:c r="Q22" s="11" t="n">
        <x:f>'Forecast'!Q27</x:f>
        <x:v>34210.087575</x:v>
      </x:c>
      <x:c r="R22" s="2"/>
      <x:c r="S22" s="43"/>
    </x:row>
    <x:row r="23" ht="27" customHeight="1">
      <x:c r="C23" s="2" t="str">
        <x:v>Less: increase in NWC</x:v>
      </x:c>
      <x:c r="D23" s="11" t="n">
        <x:f>SUM(F23:Q23)</x:f>
        <x:v>536945.8250000002</x:v>
      </x:c>
      <x:c r="E23" s="11"/>
      <x:c r="F23" s="11" t="n">
        <x:f>'Working capital'!F37</x:f>
        <x:v>447330</x:v>
      </x:c>
      <x:c r="G23" s="11" t="n">
        <x:f>'Working capital'!G37</x:f>
        <x:v>3694.6666666667443</x:v>
      </x:c>
      <x:c r="H23" s="11" t="n">
        <x:f>'Working capital'!H37</x:f>
        <x:v>66960.33333333326</x:v>
      </x:c>
      <x:c r="I23" s="11" t="n">
        <x:f>'Working capital'!I37</x:f>
        <x:v>-52495.40000000002</x:v>
      </x:c>
      <x:c r="J23" s="11" t="n">
        <x:f>'Working capital'!J37</x:f>
        <x:v>44710.13333333342</x:v>
      </x:c>
      <x:c r="K23" s="11" t="n">
        <x:f>'Working capital'!K37</x:f>
        <x:v>-68061.6000000001</x:v>
      </x:c>
      <x:c r="L23" s="11" t="n">
        <x:f>'Working capital'!L37</x:f>
        <x:v>-20683.93333333335</x:v>
      </x:c>
      <x:c r="M23" s="11" t="n">
        <x:f>'Working capital'!M37</x:f>
        <x:v>-23700.890000000014</x:v>
      </x:c>
      <x:c r="N23" s="11" t="n">
        <x:f>'Working capital'!N37</x:f>
        <x:v>-401.70999999984633</x:v>
      </x:c>
      <x:c r="O23" s="11" t="n">
        <x:f>'Working capital'!O37</x:f>
        <x:v>26512.85999999987</x:v>
      </x:c>
      <x:c r="P23" s="11" t="n">
        <x:f>'Working capital'!P37</x:f>
        <x:v>49812.03999999992</x:v>
      </x:c>
      <x:c r="Q23" s="11" t="n">
        <x:f>'Working capital'!Q37</x:f>
        <x:v>63269.3250000003</x:v>
      </x:c>
      <x:c r="R23" s="2"/>
      <x:c r="S23" s="43"/>
    </x:row>
    <x:row r="24" ht="27" customHeight="1">
      <x:c r="C24" s="2" t="str">
        <x:v>Operating cash before tax / financing</x:v>
      </x:c>
      <x:c r="D24" s="11" t="n">
        <x:f>SUM(F24:Q24)</x:f>
        <x:v>-310282.89805500023</x:v>
      </x:c>
      <x:c r="E24" s="11"/>
      <x:c r="F24" s="11" t="n">
        <x:f>F22-F23</x:f>
        <x:v>-411309</x:v>
      </x:c>
      <x:c r="G24" s="11" t="n">
        <x:f>G22-G23</x:f>
        <x:v>21758.583333333256</x:v>
      </x:c>
      <x:c r="H24" s="11" t="n">
        <x:f>H22-H23</x:f>
        <x:v>-30361.458333333256</x:v>
      </x:c>
      <x:c r="I24" s="11" t="n">
        <x:f>I22-I23</x:f>
        <x:v>71505.68000000002</x:v>
      </x:c>
      <x:c r="J24" s="11" t="n">
        <x:f>J22-J23</x:f>
        <x:v>-17069.473333333415</x:v>
      </x:c>
      <x:c r="K24" s="11" t="n">
        <x:f>K22-K23</x:f>
        <x:v>77269.11500000009</x:v>
      </x:c>
      <x:c r="L24" s="11" t="n">
        <x:f>L22-L23</x:f>
        <x:v>36370.44553333329</x:v>
      </x:c>
      <x:c r="M24" s="11" t="n">
        <x:f>M22-M23</x:f>
        <x:v>27938.390209999983</x:v>
      </x:c>
      <x:c r="N24" s="11" t="n">
        <x:f>N22-N23</x:f>
        <x:v>316.3455999998405</x:v>
      </x:c>
      <x:c r="O24" s="11" t="n">
        <x:f>O22-O23</x:f>
        <x:v>-22689.16013999989</x:v>
      </x:c>
      <x:c r="P24" s="11" t="n">
        <x:f>P22-P23</x:f>
        <x:v>-34953.12849999992</x:v>
      </x:c>
      <x:c r="Q24" s="11" t="n">
        <x:f>Q22-Q23</x:f>
        <x:v>-29059.237425000305</x:v>
      </x:c>
      <x:c r="R24" s="2"/>
      <x:c r="S24" s="43"/>
    </x:row>
    <x:row r="25" ht="27" customHeight="1">
      <x:c r="C25" s="2" t="str">
        <x:v>Less: CapEx</x:v>
      </x:c>
      <x:c r="D25" s="11" t="n">
        <x:f>SUM(F25:Q25)</x:f>
        <x:v>369000</x:v>
      </x:c>
      <x:c r="E25" s="11"/>
      <x:c r="F25" s="11" t="n">
        <x:f>'CapEx'!F9</x:f>
        <x:v>31500</x:v>
      </x:c>
      <x:c r="G25" s="11" t="n">
        <x:f>'CapEx'!G9</x:f>
        <x:v>31500</x:v>
      </x:c>
      <x:c r="H25" s="11" t="n">
        <x:f>'CapEx'!H9</x:f>
        <x:v>31500</x:v>
      </x:c>
      <x:c r="I25" s="11" t="n">
        <x:f>'CapEx'!I9</x:f>
        <x:v>31500</x:v>
      </x:c>
      <x:c r="J25" s="11" t="n">
        <x:f>'CapEx'!J9</x:f>
        <x:v>31500</x:v>
      </x:c>
      <x:c r="K25" s="11" t="n">
        <x:f>'CapEx'!K9</x:f>
        <x:v>31500</x:v>
      </x:c>
      <x:c r="L25" s="11" t="n">
        <x:f>'CapEx'!L9</x:f>
        <x:v>30000</x:v>
      </x:c>
      <x:c r="M25" s="11" t="n">
        <x:f>'CapEx'!M9</x:f>
        <x:v>30000</x:v>
      </x:c>
      <x:c r="N25" s="11" t="n">
        <x:f>'CapEx'!N9</x:f>
        <x:v>30000</x:v>
      </x:c>
      <x:c r="O25" s="11" t="n">
        <x:f>'CapEx'!O9</x:f>
        <x:v>30000</x:v>
      </x:c>
      <x:c r="P25" s="11" t="n">
        <x:f>'CapEx'!P9</x:f>
        <x:v>30000</x:v>
      </x:c>
      <x:c r="Q25" s="11" t="n">
        <x:f>'CapEx'!Q9</x:f>
        <x:v>30000</x:v>
      </x:c>
      <x:c r="R25" s="2"/>
      <x:c r="S25" s="43"/>
    </x:row>
    <x:row r="26" ht="27" customHeight="1">
      <x:c r="C26" s="26" t="str">
        <x:v>Free cash before tax / financing</x:v>
      </x:c>
      <x:c r="D26" s="27" t="n">
        <x:f>SUM(F26:Q26)</x:f>
        <x:v>-679282.8980550002</x:v>
      </x:c>
      <x:c r="E26" s="27"/>
      <x:c r="F26" s="27" t="n">
        <x:f>F24-F25</x:f>
        <x:v>-442809</x:v>
      </x:c>
      <x:c r="G26" s="27" t="n">
        <x:f>G24-G25</x:f>
        <x:v>-9741.416666666744</x:v>
      </x:c>
      <x:c r="H26" s="27" t="n">
        <x:f>H24-H25</x:f>
        <x:v>-61861.458333333256</x:v>
      </x:c>
      <x:c r="I26" s="27" t="n">
        <x:f>I24-I25</x:f>
        <x:v>40005.68000000002</x:v>
      </x:c>
      <x:c r="J26" s="27" t="n">
        <x:f>J24-J25</x:f>
        <x:v>-48569.473333333415</x:v>
      </x:c>
      <x:c r="K26" s="27" t="n">
        <x:f>K24-K25</x:f>
        <x:v>45769.11500000009</x:v>
      </x:c>
      <x:c r="L26" s="27" t="n">
        <x:f>L24-L25</x:f>
        <x:v>6370.445533333288</x:v>
      </x:c>
      <x:c r="M26" s="27" t="n">
        <x:f>M24-M25</x:f>
        <x:v>-2061.609790000017</x:v>
      </x:c>
      <x:c r="N26" s="27" t="n">
        <x:f>N24-N25</x:f>
        <x:v>-29683.65440000016</x:v>
      </x:c>
      <x:c r="O26" s="27" t="n">
        <x:f>O24-O25</x:f>
        <x:v>-52689.16013999989</x:v>
      </x:c>
      <x:c r="P26" s="27" t="n">
        <x:f>P24-P25</x:f>
        <x:v>-64953.12849999992</x:v>
      </x:c>
      <x:c r="Q26" s="27" t="n">
        <x:f>Q24-Q25</x:f>
        <x:v>-59059.237425000305</x:v>
      </x:c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 t="str">
        <x:v>Opening cash</x:v>
      </x:c>
      <x:c r="D28" s="11" t="n">
        <x:f>F28</x:f>
        <x:v>750000</x:v>
      </x:c>
      <x:c r="E28" s="11"/>
      <x:c r="F28" s="11" t="n">
        <x:f>'Assumptions'!$D$30</x:f>
        <x:v>750000</x:v>
      </x:c>
      <x:c r="G28" s="11" t="n">
        <x:f>F29</x:f>
        <x:v>307191</x:v>
      </x:c>
      <x:c r="H28" s="11" t="n">
        <x:f>G29</x:f>
        <x:v>297449.58333333326</x:v>
      </x:c>
      <x:c r="I28" s="11" t="n">
        <x:f>H29</x:f>
        <x:v>235588.125</x:v>
      </x:c>
      <x:c r="J28" s="11" t="n">
        <x:f>I29</x:f>
        <x:v>275593.80500000005</x:v>
      </x:c>
      <x:c r="K28" s="11" t="n">
        <x:f>J29</x:f>
        <x:v>227024.33166666664</x:v>
      </x:c>
      <x:c r="L28" s="11" t="n">
        <x:f>K29</x:f>
        <x:v>272793.4466666667</x:v>
      </x:c>
      <x:c r="M28" s="11" t="n">
        <x:f>L29</x:f>
        <x:v>279163.8922</x:v>
      </x:c>
      <x:c r="N28" s="11" t="n">
        <x:f>M29</x:f>
        <x:v>277102.28241</x:v>
      </x:c>
      <x:c r="O28" s="11" t="n">
        <x:f>N29</x:f>
        <x:v>247418.6280099998</x:v>
      </x:c>
      <x:c r="P28" s="11" t="n">
        <x:f>O29</x:f>
        <x:v>194729.46786999993</x:v>
      </x:c>
      <x:c r="Q28" s="11" t="n">
        <x:f>P29</x:f>
        <x:v>129776.33937000002</x:v>
      </x:c>
      <x:c r="R28" s="2"/>
      <x:c r="S28" s="43"/>
    </x:row>
    <x:row r="29" ht="27" customHeight="1">
      <x:c r="C29" s="28" t="str">
        <x:v>Ending cash</x:v>
      </x:c>
      <x:c r="D29" s="29" t="n">
        <x:f>Q29</x:f>
        <x:v>70717.10194499971</x:v>
      </x:c>
      <x:c r="E29" s="29"/>
      <x:c r="F29" s="29" t="n">
        <x:f>F28+F26</x:f>
        <x:v>307191</x:v>
      </x:c>
      <x:c r="G29" s="29" t="n">
        <x:f>G28+G26</x:f>
        <x:v>297449.58333333326</x:v>
      </x:c>
      <x:c r="H29" s="29" t="n">
        <x:f>H28+H26</x:f>
        <x:v>235588.125</x:v>
      </x:c>
      <x:c r="I29" s="29" t="n">
        <x:f>I28+I26</x:f>
        <x:v>275593.80500000005</x:v>
      </x:c>
      <x:c r="J29" s="29" t="n">
        <x:f>J28+J26</x:f>
        <x:v>227024.33166666664</x:v>
      </x:c>
      <x:c r="K29" s="29" t="n">
        <x:f>K28+K26</x:f>
        <x:v>272793.4466666667</x:v>
      </x:c>
      <x:c r="L29" s="29" t="n">
        <x:f>L28+L26</x:f>
        <x:v>279163.8922</x:v>
      </x:c>
      <x:c r="M29" s="29" t="n">
        <x:f>M28+M26</x:f>
        <x:v>277102.28241</x:v>
      </x:c>
      <x:c r="N29" s="29" t="n">
        <x:f>N28+N26</x:f>
        <x:v>247418.6280099998</x:v>
      </x:c>
      <x:c r="O29" s="29" t="n">
        <x:f>O28+O26</x:f>
        <x:v>194729.46786999993</x:v>
      </x:c>
      <x:c r="P29" s="29" t="n">
        <x:f>P28+P26</x:f>
        <x:v>129776.33937000002</x:v>
      </x:c>
      <x:c r="Q29" s="29" t="n">
        <x:f>Q28+Q26</x:f>
        <x:v>70717.10194499971</x:v>
      </x:c>
      <x:c r="R29" s="2"/>
      <x:c r="S29" s="43" t="str">
        <x:v>Opening cash + current-month free cash flow.</x:v>
      </x:c>
    </x:row>
    <x:row r="30" ht="27" customHeight="1">
      <x:c r="C30" s="2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 t="str">
        <x:v>Payroll and SG&amp;A are paid in the month incurred. No taxes, interest or financing flows are included.</x:v>
      </x:c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 t="str">
        <x:v>The large January cash use reflects the opening working-capital balances and the first month’s modeled run rate.</x:v>
      </x:c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conditionalFormatting sqref="F15:Q15">
    <x:cfRule type="cellIs" dxfId="0" priority="1" operator="lessThan">
      <x:formula>0</x:formula>
    </x:cfRule>
  </x:conditionalFormatting>
  <x:conditionalFormatting sqref="F29:Q29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Scenario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Change vs budget</x:v>
      </x:c>
      <x:c r="E5" s="9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2" t="str">
        <x:v>Unit volume change</x:v>
      </x:c>
      <x:c r="D7" s="19" t="n">
        <x:v>-0.05</x:v>
      </x:c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2"/>
      <x:c r="S7" s="43"/>
    </x:row>
    <x:row r="8" ht="27" customHeight="1">
      <x:c r="C8" s="2" t="str">
        <x:v>Raw material cost / unit change</x:v>
      </x:c>
      <x:c r="D8" s="19" t="n">
        <x:v>0.08</x:v>
      </x:c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2"/>
      <x:c r="S8" s="43"/>
    </x:row>
    <x:row r="9" ht="27" customHeight="1">
      <x:c r="C9" s="2" t="str">
        <x:v>Selling price change</x:v>
      </x:c>
      <x:c r="D9" s="19" t="n">
        <x:v>0</x:v>
      </x:c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2"/>
      <x:c r="S9" s="43"/>
    </x:row>
    <x:row r="10" ht="27" customHeight="1">
      <x:c r="C10" s="2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2"/>
      <x:c r="S10" s="43"/>
    </x:row>
    <x:row r="11" ht="27" customHeight="1">
      <x:c r="C11" s="2"/>
      <x:c r="D11" s="11"/>
      <x:c r="E11" s="11"/>
      <x:c r="F11" s="11" t="str">
        <x:v>Budget</x:v>
      </x:c>
      <x:c r="G11" s="11" t="str">
        <x:v>Scenario</x:v>
      </x:c>
      <x:c r="H11" s="11" t="str">
        <x:v>Difference</x:v>
      </x:c>
      <x:c r="I11" s="11"/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Revenue</x:v>
      </x:c>
      <x:c r="D12" s="11"/>
      <x:c r="E12" s="11"/>
      <x:c r="F12" s="11" t="n">
        <x:f>'Budget'!D10</x:f>
        <x:v>6897150</x:v>
      </x:c>
      <x:c r="G12" s="11" t="n">
        <x:f>F12*(1+$D$7)*(1+$D$9)</x:f>
        <x:v>6552292.5</x:v>
      </x:c>
      <x:c r="H12" s="11" t="n">
        <x:f>G12-F12</x:f>
        <x:v>-344857.5</x:v>
      </x:c>
      <x:c r="I12" s="11"/>
      <x:c r="J12" s="11"/>
      <x:c r="K12" s="11"/>
      <x:c r="L12" s="11"/>
      <x:c r="M12" s="11"/>
      <x:c r="N12" s="11"/>
      <x:c r="O12" s="11"/>
      <x:c r="P12" s="11"/>
      <x:c r="Q12" s="11"/>
      <x:c r="R12" s="2"/>
      <x:c r="S12" s="43"/>
    </x:row>
    <x:row r="13" ht="27" customHeight="1">
      <x:c r="C13" s="2" t="str">
        <x:v>Raw material cost</x:v>
      </x:c>
      <x:c r="D13" s="11"/>
      <x:c r="E13" s="11"/>
      <x:c r="F13" s="11" t="n">
        <x:f>'Budget'!D14</x:f>
        <x:v>2299050</x:v>
      </x:c>
      <x:c r="G13" s="11" t="n">
        <x:f>F13*(1+$D$7)*(1+$D$8)</x:f>
        <x:v>2358825.3000000003</x:v>
      </x:c>
      <x:c r="H13" s="11" t="n">
        <x:f>G13-F13</x:f>
        <x:v>59775.30000000028</x:v>
      </x:c>
      <x:c r="I13" s="11"/>
      <x:c r="J13" s="11"/>
      <x:c r="K13" s="11"/>
      <x:c r="L13" s="11"/>
      <x:c r="M13" s="11"/>
      <x:c r="N13" s="11"/>
      <x:c r="O13" s="11"/>
      <x:c r="P13" s="11"/>
      <x:c r="Q13" s="11"/>
      <x:c r="R13" s="2"/>
      <x:c r="S13" s="43"/>
    </x:row>
    <x:row r="14" ht="27" customHeight="1">
      <x:c r="C14" s="2" t="str">
        <x:v>Conversion cost</x:v>
      </x:c>
      <x:c r="D14" s="11"/>
      <x:c r="E14" s="11"/>
      <x:c r="F14" s="11" t="n">
        <x:f>'Budget'!D15</x:f>
        <x:v>1277250</x:v>
      </x:c>
      <x:c r="G14" s="11" t="n">
        <x:f>F14*(1+$D$7)</x:f>
        <x:v>1213387.5</x:v>
      </x:c>
      <x:c r="H14" s="11" t="n">
        <x:f>G14-F14</x:f>
        <x:v>-63862.5</x:v>
      </x:c>
      <x:c r="I14" s="11"/>
      <x:c r="J14" s="11"/>
      <x:c r="K14" s="11"/>
      <x:c r="L14" s="11"/>
      <x:c r="M14" s="11"/>
      <x:c r="N14" s="11"/>
      <x:c r="O14" s="11"/>
      <x:c r="P14" s="11"/>
      <x:c r="Q14" s="11"/>
      <x:c r="R14" s="2"/>
      <x:c r="S14" s="43"/>
    </x:row>
    <x:row r="15" ht="27" customHeight="1">
      <x:c r="C15" s="2" t="str">
        <x:v>Support payroll</x:v>
      </x:c>
      <x:c r="D15" s="11"/>
      <x:c r="E15" s="11"/>
      <x:c r="F15" s="11" t="n">
        <x:f>'Budget'!D21</x:f>
        <x:v>2070600</x:v>
      </x:c>
      <x:c r="G15" s="11" t="n">
        <x:f>F15</x:f>
        <x:v>2070600</x:v>
      </x:c>
      <x:c r="H15" s="11" t="n">
        <x:f>G15-F15</x:f>
        <x:v>0</x:v>
      </x:c>
      <x:c r="I15" s="11"/>
      <x:c r="J15" s="11"/>
      <x:c r="K15" s="11"/>
      <x:c r="L15" s="11"/>
      <x:c r="M15" s="11"/>
      <x:c r="N15" s="11"/>
      <x:c r="O15" s="11"/>
      <x:c r="P15" s="11"/>
      <x:c r="Q15" s="11"/>
      <x:c r="R15" s="2"/>
      <x:c r="S15" s="43"/>
    </x:row>
    <x:row r="16" ht="27" customHeight="1">
      <x:c r="C16" s="2" t="str">
        <x:v>Fixed SG&amp;A</x:v>
      </x:c>
      <x:c r="D16" s="11"/>
      <x:c r="E16" s="11"/>
      <x:c r="F16" s="11" t="n">
        <x:f>'Budget'!D22</x:f>
        <x:v>660000</x:v>
      </x:c>
      <x:c r="G16" s="11" t="n">
        <x:f>F16</x:f>
        <x:v>660000</x:v>
      </x:c>
      <x:c r="H16" s="11" t="n">
        <x:f>G16-F16</x:f>
        <x:v>0</x:v>
      </x:c>
      <x:c r="I16" s="11"/>
      <x:c r="J16" s="11"/>
      <x:c r="K16" s="11"/>
      <x:c r="L16" s="11"/>
      <x:c r="M16" s="11"/>
      <x:c r="N16" s="11"/>
      <x:c r="O16" s="11"/>
      <x:c r="P16" s="11"/>
      <x:c r="Q16" s="11"/>
      <x:c r="R16" s="2"/>
      <x:c r="S16" s="43"/>
    </x:row>
    <x:row r="17" ht="27" customHeight="1">
      <x:c r="C17" s="2" t="str">
        <x:v>Variable SG&amp;A</x:v>
      </x:c>
      <x:c r="D17" s="11"/>
      <x:c r="E17" s="11"/>
      <x:c r="F17" s="11" t="n">
        <x:f>'Budget'!D24</x:f>
        <x:v>241400.25000000003</x:v>
      </x:c>
      <x:c r="G17" s="11" t="n">
        <x:f>F17*(1+$D$7)*(1+$D$9)</x:f>
        <x:v>229330.23750000002</x:v>
      </x:c>
      <x:c r="H17" s="11" t="n">
        <x:f>G17-F17</x:f>
        <x:v>-12070.012500000012</x:v>
      </x:c>
      <x:c r="I17" s="11"/>
      <x:c r="J17" s="11"/>
      <x:c r="K17" s="11"/>
      <x:c r="L17" s="11"/>
      <x:c r="M17" s="11"/>
      <x:c r="N17" s="11"/>
      <x:c r="O17" s="11"/>
      <x:c r="P17" s="11"/>
      <x:c r="Q17" s="11"/>
      <x:c r="R17" s="2"/>
      <x:c r="S17" s="43"/>
    </x:row>
    <x:row r="18" ht="27" customHeight="1">
      <x:c r="C18" s="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8" t="str">
        <x:v>EBITDA</x:v>
      </x:c>
      <x:c r="D19" s="29"/>
      <x:c r="E19" s="29"/>
      <x:c r="F19" s="29" t="n">
        <x:f>'Budget'!D27</x:f>
        <x:v>348849.75</x:v>
      </x:c>
      <x:c r="G19" s="29" t="n">
        <x:f>G12-SUM(G13:G17)</x:f>
        <x:v>20149.46249999944</x:v>
      </x:c>
      <x:c r="H19" s="29" t="n">
        <x:f>G19-F19</x:f>
        <x:v>-328700.28750000056</x:v>
      </x:c>
      <x:c r="I19" s="29"/>
      <x:c r="J19" s="29"/>
      <x:c r="K19" s="29"/>
      <x:c r="L19" s="29"/>
      <x:c r="M19" s="29"/>
      <x:c r="N19" s="29"/>
      <x:c r="O19" s="29"/>
      <x:c r="P19" s="29"/>
      <x:c r="Q19" s="29"/>
      <x:c r="R19" s="2"/>
      <x:c r="S19" s="43"/>
    </x:row>
    <x:row r="20" ht="27" customHeight="1">
      <x:c r="C20" s="2" t="str">
        <x:v>EBITDA change %</x:v>
      </x:c>
      <x:c r="D20" s="11"/>
      <x:c r="E20" s="11"/>
      <x:c r="F20" s="11"/>
      <x:c r="G20" s="11"/>
      <x:c r="H20" s="20" t="n">
        <x:f>IF(F19=0,"n.a.",H19/ABS(F19))</x:f>
        <x:v>-0.9422402839617932</x:v>
      </x:c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2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2"/>
      <x:c r="S22" s="43"/>
    </x:row>
    <x:row r="23" ht="27" customHeight="1">
      <x:c r="C23" s="14" t="str">
        <x:v>EBITDA sensitivity (price held at budget)</x:v>
      </x:c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2"/>
      <x:c r="S23" s="43"/>
    </x:row>
    <x:row r="24" ht="27" customHeight="1">
      <x:c r="C24" s="2" t="str">
        <x:v>Raw-material unit cost change</x:v>
      </x:c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2"/>
      <x:c r="S24" s="43"/>
    </x:row>
    <x:row r="25" ht="27" customHeight="1">
      <x:c r="C25" s="2"/>
      <x:c r="D25" s="11"/>
      <x:c r="E25" s="11"/>
      <x:c r="F25" s="19" t="n">
        <x:v>0</x:v>
      </x:c>
      <x:c r="G25" s="19" t="n">
        <x:v>0.04</x:v>
      </x:c>
      <x:c r="H25" s="19" t="n">
        <x:v>0.08</x:v>
      </x:c>
      <x:c r="I25" s="19" t="n">
        <x:v>0.12</x:v>
      </x:c>
      <x:c r="J25" s="11"/>
      <x:c r="K25" s="11"/>
      <x:c r="L25" s="11"/>
      <x:c r="M25" s="11"/>
      <x:c r="N25" s="11"/>
      <x:c r="O25" s="11"/>
      <x:c r="P25" s="11"/>
      <x:c r="Q25" s="11"/>
      <x:c r="R25" s="2"/>
      <x:c r="S25" s="43"/>
    </x:row>
    <x:row r="26" ht="27" customHeight="1">
      <x:c r="C26" s="2" t="str">
        <x:v>Volume change</x:v>
      </x:c>
      <x:c r="D26" s="19" t="n">
        <x:v>-0.1</x:v>
      </x:c>
      <x:c r="E26" s="11"/>
      <x:c r="F26" s="11" t="n">
        <x:f>$F$19+$F$31*$D26-$F$13*(1+$D26)*F$25</x:f>
        <x:v>40904.774999999965</x:v>
      </x:c>
      <x:c r="G26" s="11" t="n">
        <x:f>$F$19+$F$31*$D26-$F$13*(1+$D26)*G$25</x:f>
        <x:v>-41861.02500000004</x:v>
      </x:c>
      <x:c r="H26" s="11" t="n">
        <x:f>$F$19+$F$31*$D26-$F$13*(1+$D26)*H$25</x:f>
        <x:v>-124626.82500000004</x:v>
      </x:c>
      <x:c r="I26" s="11" t="n">
        <x:f>$F$19+$F$31*$D26-$F$13*(1+$D26)*I$25</x:f>
        <x:v>-207392.62500000003</x:v>
      </x:c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7" customHeight="1">
      <x:c r="C27" s="2"/>
      <x:c r="D27" s="19" t="n">
        <x:v>-0.05</x:v>
      </x:c>
      <x:c r="E27" s="11"/>
      <x:c r="F27" s="11" t="n">
        <x:f>$F$19+$F$31*$D27-$F$13*(1+$D27)*F$25</x:f>
        <x:v>194877.26249999998</x:v>
      </x:c>
      <x:c r="G27" s="11" t="n">
        <x:f>$F$19+$F$31*$D27-$F$13*(1+$D27)*G$25</x:f>
        <x:v>107513.36249999997</x:v>
      </x:c>
      <x:c r="H27" s="11" t="n">
        <x:f>$F$19+$F$31*$D27-$F$13*(1+$D27)*H$25</x:f>
        <x:v>20149.462499999965</x:v>
      </x:c>
      <x:c r="I27" s="11" t="n">
        <x:f>$F$19+$F$31*$D27-$F$13*(1+$D27)*I$25</x:f>
        <x:v>-67214.4375</x:v>
      </x:c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/>
      <x:c r="D28" s="19" t="n">
        <x:v>0</x:v>
      </x:c>
      <x:c r="E28" s="11"/>
      <x:c r="F28" s="11" t="n">
        <x:f>$F$19+$F$31*$D28-$F$13*(1+$D28)*F$25</x:f>
        <x:v>348849.75</x:v>
      </x:c>
      <x:c r="G28" s="11" t="n">
        <x:f>$F$19+$F$31*$D28-$F$13*(1+$D28)*G$25</x:f>
        <x:v>256887.75</x:v>
      </x:c>
      <x:c r="H28" s="11" t="n">
        <x:f>$F$19+$F$31*$D28-$F$13*(1+$D28)*H$25</x:f>
        <x:v>164925.75</x:v>
      </x:c>
      <x:c r="I28" s="11" t="n">
        <x:f>$F$19+$F$31*$D28-$F$13*(1+$D28)*I$25</x:f>
        <x:v>72963.75</x:v>
      </x:c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7" customHeight="1">
      <x:c r="C29" s="2"/>
      <x:c r="D29" s="19" t="n">
        <x:v>0.05</x:v>
      </x:c>
      <x:c r="E29" s="11"/>
      <x:c r="F29" s="11" t="n">
        <x:f>$F$19+$F$31*$D29-$F$13*(1+$D29)*F$25</x:f>
        <x:v>502822.23750000005</x:v>
      </x:c>
      <x:c r="G29" s="11" t="n">
        <x:f>$F$19+$F$31*$D29-$F$13*(1+$D29)*G$25</x:f>
        <x:v>406262.13750000007</x:v>
      </x:c>
      <x:c r="H29" s="11" t="n">
        <x:f>$F$19+$F$31*$D29-$F$13*(1+$D29)*H$25</x:f>
        <x:v>309702.03750000003</x:v>
      </x:c>
      <x:c r="I29" s="11" t="n">
        <x:f>$F$19+$F$31*$D29-$F$13*(1+$D29)*I$25</x:f>
        <x:v>213141.93750000006</x:v>
      </x:c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7" customHeight="1">
      <x:c r="C31" s="2" t="str">
        <x:v>Budget contribution</x:v>
      </x:c>
      <x:c r="D31" s="11"/>
      <x:c r="E31" s="11"/>
      <x:c r="F31" s="11" t="n">
        <x:f>'Budget'!D30</x:f>
        <x:v>3079449.75</x:v>
      </x:c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 t="str">
        <x:v>Revenue − raw material − conversion − variable SG&amp;A.</x:v>
      </x:c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 t="str">
        <x:v>Sensitivity = budget EBITDA + budget contribution × volume change − raw material × new volume factor × cost change.</x:v>
      </x:c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 t="str">
        <x:v>Payroll and fixed SG&amp;A stay constant. Volume changes scale all months equally. The scenario tests annual budget EBITDA only.</x:v>
      </x:c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 t="str">
        <x:v>For cash effects, edit July–December drivers on Assumptions or spending on CapEx and review Cash flow.</x:v>
      </x:c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Actuals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/>
      <x:c r="E5" s="9"/>
      <x:c r="F5" s="10" t="n">
        <x:v>46388</x:v>
      </x:c>
      <x:c r="G5" s="10" t="n">
        <x:v>46419</x:v>
      </x:c>
      <x:c r="H5" s="10" t="n">
        <x:v>46447</x:v>
      </x:c>
      <x:c r="I5" s="10" t="n">
        <x:v>46478</x:v>
      </x:c>
      <x:c r="J5" s="10" t="n">
        <x:v>46508</x:v>
      </x:c>
      <x:c r="K5" s="10" t="n">
        <x:v>46539</x:v>
      </x:c>
      <x:c r="L5" s="10" t="n">
        <x:v>46569</x:v>
      </x:c>
      <x:c r="M5" s="10" t="n">
        <x:v>46600</x:v>
      </x:c>
      <x:c r="N5" s="10" t="n">
        <x:v>46631</x:v>
      </x:c>
      <x:c r="O5" s="10" t="n">
        <x:v>46661</x:v>
      </x:c>
      <x:c r="P5" s="10" t="n">
        <x:v>46692</x:v>
      </x:c>
      <x:c r="Q5" s="10" t="n">
        <x:v>46722</x:v>
      </x:c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14" t="str">
        <x:v>January–June observations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2"/>
      <x:c r="S7" s="43"/>
    </x:row>
    <x:row r="8" ht="27" customHeight="1">
      <x:c r="C8" s="2" t="str">
        <x:v>Units sold</x:v>
      </x:c>
      <x:c r="D8" s="11"/>
      <x:c r="E8" s="11"/>
      <x:c r="F8" s="17" t="n">
        <x:v>4275</x:v>
      </x:c>
      <x:c r="G8" s="17" t="n">
        <x:v>4310</x:v>
      </x:c>
      <x:c r="H8" s="17" t="n">
        <x:v>4575</x:v>
      </x:c>
      <x:c r="I8" s="17" t="n">
        <x:v>4347</x:v>
      </x:c>
      <x:c r="J8" s="17" t="n">
        <x:v>4498</x:v>
      </x:c>
      <x:c r="K8" s="17" t="n">
        <x:v>4183</x:v>
      </x:c>
      <x:c r="L8" s="11"/>
      <x:c r="M8" s="11"/>
      <x:c r="N8" s="11"/>
      <x:c r="O8" s="11"/>
      <x:c r="P8" s="11"/>
      <x:c r="Q8" s="11"/>
      <x:c r="R8" s="2"/>
      <x:c r="S8" s="43"/>
    </x:row>
    <x:row r="9" ht="27" customHeight="1">
      <x:c r="C9" s="2" t="str">
        <x:v>Selling price per unit</x:v>
      </x:c>
      <x:c r="D9" s="11"/>
      <x:c r="E9" s="11"/>
      <x:c r="F9" s="18" t="n">
        <x:v>136</x:v>
      </x:c>
      <x:c r="G9" s="18" t="n">
        <x:v>135</x:v>
      </x:c>
      <x:c r="H9" s="18" t="n">
        <x:v>137</x:v>
      </x:c>
      <x:c r="I9" s="18" t="n">
        <x:v>136</x:v>
      </x:c>
      <x:c r="J9" s="18" t="n">
        <x:v>138</x:v>
      </x:c>
      <x:c r="K9" s="18" t="n">
        <x:v>137</x:v>
      </x:c>
      <x:c r="L9" s="11"/>
      <x:c r="M9" s="11"/>
      <x:c r="N9" s="11"/>
      <x:c r="O9" s="11"/>
      <x:c r="P9" s="11"/>
      <x:c r="Q9" s="11"/>
      <x:c r="R9" s="2"/>
      <x:c r="S9" s="43"/>
    </x:row>
    <x:row r="10" ht="27" customHeight="1">
      <x:c r="C10" s="2" t="str">
        <x:v>Raw material per unit</x:v>
      </x:c>
      <x:c r="D10" s="11"/>
      <x:c r="E10" s="11"/>
      <x:c r="F10" s="18" t="n">
        <x:v>45</x:v>
      </x:c>
      <x:c r="G10" s="18" t="n">
        <x:v>46</x:v>
      </x:c>
      <x:c r="H10" s="18" t="n">
        <x:v>47</x:v>
      </x:c>
      <x:c r="I10" s="18" t="n">
        <x:v>46</x:v>
      </x:c>
      <x:c r="J10" s="18" t="n">
        <x:v>48</x:v>
      </x:c>
      <x:c r="K10" s="18" t="n">
        <x:v>47</x:v>
      </x:c>
      <x:c r="L10" s="11"/>
      <x:c r="M10" s="11"/>
      <x:c r="N10" s="11"/>
      <x:c r="O10" s="11"/>
      <x:c r="P10" s="11"/>
      <x:c r="Q10" s="11"/>
      <x:c r="R10" s="2"/>
      <x:c r="S10" s="43"/>
    </x:row>
    <x:row r="11" ht="27" customHeight="1">
      <x:c r="C11" s="2" t="str">
        <x:v>Conversion cost per unit</x:v>
      </x:c>
      <x:c r="D11" s="11"/>
      <x:c r="E11" s="11"/>
      <x:c r="F11" s="18" t="n">
        <x:v>25</x:v>
      </x:c>
      <x:c r="G11" s="18" t="n">
        <x:v>25</x:v>
      </x:c>
      <x:c r="H11" s="18" t="n">
        <x:v>26</x:v>
      </x:c>
      <x:c r="I11" s="18" t="n">
        <x:v>26</x:v>
      </x:c>
      <x:c r="J11" s="18" t="n">
        <x:v>26</x:v>
      </x:c>
      <x:c r="K11" s="18" t="n">
        <x:v>27</x:v>
      </x:c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Recorded payroll</x:v>
      </x:c>
      <x:c r="D12" s="11"/>
      <x:c r="E12" s="11"/>
      <x:c r="F12" s="17" t="n">
        <x:v>169680</x:v>
      </x:c>
      <x:c r="G12" s="17" t="n">
        <x:v>173922</x:v>
      </x:c>
      <x:c r="H12" s="17" t="n">
        <x:v>178164</x:v>
      </x:c>
      <x:c r="I12" s="17" t="n">
        <x:v>182406</x:v>
      </x:c>
      <x:c r="J12" s="17" t="n">
        <x:v>182406</x:v>
      </x:c>
      <x:c r="K12" s="17" t="n">
        <x:v>178164</x:v>
      </x:c>
      <x:c r="L12" s="11"/>
      <x:c r="M12" s="11"/>
      <x:c r="N12" s="11"/>
      <x:c r="O12" s="11"/>
      <x:c r="P12" s="11"/>
      <x:c r="Q12" s="11"/>
      <x:c r="R12" s="2"/>
      <x:c r="S12" s="43"/>
    </x:row>
    <x:row r="13" ht="27" customHeight="1">
      <x:c r="C13" s="2" t="str">
        <x:v>Recorded SG&amp;A</x:v>
      </x:c>
      <x:c r="D13" s="11"/>
      <x:c r="E13" s="11"/>
      <x:c r="F13" s="17" t="n">
        <x:v>76449</x:v>
      </x:c>
      <x:c r="G13" s="17" t="n">
        <x:v>76464.75</x:v>
      </x:c>
      <x:c r="H13" s="17" t="n">
        <x:v>78037.125</x:v>
      </x:c>
      <x:c r="I13" s="17" t="n">
        <x:v>76791.72</x:v>
      </x:c>
      <x:c r="J13" s="17" t="n">
        <x:v>77825.34</x:v>
      </x:c>
      <x:c r="K13" s="17" t="n">
        <x:v>76157.485</x:v>
      </x:c>
      <x:c r="L13" s="11"/>
      <x:c r="M13" s="11"/>
      <x:c r="N13" s="11"/>
      <x:c r="O13" s="11"/>
      <x:c r="P13" s="11"/>
      <x:c r="Q13" s="11"/>
      <x:c r="R13" s="2"/>
      <x:c r="S13" s="43"/>
    </x:row>
    <x:row r="14" ht="27" customHeight="1">
      <x:c r="C14" s="2" t="str">
        <x:v>Recorded CapEx</x:v>
      </x:c>
      <x:c r="D14" s="11"/>
      <x:c r="E14" s="11"/>
      <x:c r="F14" s="17" t="n">
        <x:v>31500</x:v>
      </x:c>
      <x:c r="G14" s="17" t="n">
        <x:v>31500</x:v>
      </x:c>
      <x:c r="H14" s="17" t="n">
        <x:v>31500</x:v>
      </x:c>
      <x:c r="I14" s="17" t="n">
        <x:v>31500</x:v>
      </x:c>
      <x:c r="J14" s="17" t="n">
        <x:v>31500</x:v>
      </x:c>
      <x:c r="K14" s="17" t="n">
        <x:v>31500</x:v>
      </x:c>
      <x:c r="L14" s="11"/>
      <x:c r="M14" s="11"/>
      <x:c r="N14" s="11"/>
      <x:c r="O14" s="11"/>
      <x:c r="P14" s="11"/>
      <x:c r="Q14" s="11"/>
      <x:c r="R14" s="2"/>
      <x:c r="S14" s="43"/>
    </x:row>
    <x:row r="15" ht="27" customHeight="1">
      <x:c r="C15" s="2" t="str">
        <x:v>Accounts receivable</x:v>
      </x:c>
      <x:c r="D15" s="11"/>
      <x:c r="E15" s="11"/>
      <x:c r="F15" s="17" t="n">
        <x:v>697680</x:v>
      </x:c>
      <x:c r="G15" s="17" t="n">
        <x:v>698220</x:v>
      </x:c>
      <x:c r="H15" s="17" t="n">
        <x:v>752130</x:v>
      </x:c>
      <x:c r="I15" s="17" t="n">
        <x:v>709430.4</x:v>
      </x:c>
      <x:c r="J15" s="17" t="n">
        <x:v>744868.8</x:v>
      </x:c>
      <x:c r="K15" s="17" t="n">
        <x:v>687685.2</x:v>
      </x:c>
      <x:c r="L15" s="11"/>
      <x:c r="M15" s="11"/>
      <x:c r="N15" s="11"/>
      <x:c r="O15" s="11"/>
      <x:c r="P15" s="11"/>
      <x:c r="Q15" s="11"/>
      <x:c r="R15" s="2"/>
      <x:c r="S15" s="43"/>
    </x:row>
    <x:row r="16" ht="27" customHeight="1">
      <x:c r="C16" s="2" t="str">
        <x:v>Inventory</x:v>
      </x:c>
      <x:c r="D16" s="11"/>
      <x:c r="E16" s="11"/>
      <x:c r="F16" s="17" t="n">
        <x:v>418950</x:v>
      </x:c>
      <x:c r="G16" s="17" t="n">
        <x:v>428414</x:v>
      </x:c>
      <x:c r="H16" s="17" t="n">
        <x:v>467565</x:v>
      </x:c>
      <x:c r="I16" s="17" t="n">
        <x:v>438177.6</x:v>
      </x:c>
      <x:c r="J16" s="17" t="n">
        <x:v>465992.8</x:v>
      </x:c>
      <x:c r="K16" s="17" t="n">
        <x:v>433358.8</x:v>
      </x:c>
      <x:c r="L16" s="11"/>
      <x:c r="M16" s="11"/>
      <x:c r="N16" s="11"/>
      <x:c r="O16" s="11"/>
      <x:c r="P16" s="11"/>
      <x:c r="Q16" s="11"/>
      <x:c r="R16" s="2"/>
      <x:c r="S16" s="43"/>
    </x:row>
    <x:row r="17" ht="27" customHeight="1">
      <x:c r="C17" s="2" t="str">
        <x:v>Accounts payable</x:v>
      </x:c>
      <x:c r="D17" s="11"/>
      <x:c r="E17" s="11"/>
      <x:c r="F17" s="17" t="n">
        <x:v>279300</x:v>
      </x:c>
      <x:c r="G17" s="17" t="n">
        <x:v>285609.3333333333</x:v>
      </x:c>
      <x:c r="H17" s="17" t="n">
        <x:v>311710</x:v>
      </x:c>
      <x:c r="I17" s="17" t="n">
        <x:v>292118.4</x:v>
      </x:c>
      <x:c r="J17" s="17" t="n">
        <x:v>310661.86666666664</x:v>
      </x:c>
      <x:c r="K17" s="17" t="n">
        <x:v>288905.86666666664</x:v>
      </x:c>
      <x:c r="L17" s="11"/>
      <x:c r="M17" s="11"/>
      <x:c r="N17" s="11"/>
      <x:c r="O17" s="11"/>
      <x:c r="P17" s="11"/>
      <x:c r="Q17" s="11"/>
      <x:c r="R17" s="2"/>
      <x:c r="S17" s="43"/>
    </x:row>
    <x:row r="18" ht="27" customHeight="1">
      <x:c r="C18" s="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2" t="str">
        <x:v>Hires</x:v>
      </x:c>
      <x:c r="D20" s="11"/>
      <x:c r="E20" s="11"/>
      <x:c r="F20" s="17" t="n">
        <x:v>0</x:v>
      </x:c>
      <x:c r="G20" s="17" t="n">
        <x:v>1</x:v>
      </x:c>
      <x:c r="H20" s="17" t="n">
        <x:v>0</x:v>
      </x:c>
      <x:c r="I20" s="17" t="n">
        <x:v>1</x:v>
      </x:c>
      <x:c r="J20" s="17" t="n">
        <x:v>0</x:v>
      </x:c>
      <x:c r="K20" s="17" t="n">
        <x:v>0</x:v>
      </x:c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2" t="str">
        <x:v>Exits</x:v>
      </x:c>
      <x:c r="D21" s="11"/>
      <x:c r="E21" s="11"/>
      <x:c r="F21" s="17" t="n">
        <x:v>0</x:v>
      </x:c>
      <x:c r="G21" s="17" t="n">
        <x:v>0</x:v>
      </x:c>
      <x:c r="H21" s="17" t="n">
        <x:v>0</x:v>
      </x:c>
      <x:c r="I21" s="17" t="n">
        <x:v>0</x:v>
      </x:c>
      <x:c r="J21" s="17" t="n">
        <x:v>1</x:v>
      </x:c>
      <x:c r="K21" s="17" t="n">
        <x:v>0</x:v>
      </x:c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2" t="str">
        <x:v>Annual salary per support FTE</x:v>
      </x:c>
      <x:c r="D22" s="11"/>
      <x:c r="E22" s="11"/>
      <x:c r="F22" s="17" t="n">
        <x:v>84840</x:v>
      </x:c>
      <x:c r="G22" s="17" t="n">
        <x:v>84840</x:v>
      </x:c>
      <x:c r="H22" s="17" t="n">
        <x:v>84840</x:v>
      </x:c>
      <x:c r="I22" s="17" t="n">
        <x:v>84840</x:v>
      </x:c>
      <x:c r="J22" s="17" t="n">
        <x:v>84840</x:v>
      </x:c>
      <x:c r="K22" s="17" t="n">
        <x:v>84840</x:v>
      </x:c>
      <x:c r="L22" s="11"/>
      <x:c r="M22" s="11"/>
      <x:c r="N22" s="11"/>
      <x:c r="O22" s="11"/>
      <x:c r="P22" s="11"/>
      <x:c r="Q22" s="11"/>
      <x:c r="R22" s="2"/>
      <x:c r="S22" s="43"/>
    </x:row>
    <x:row r="23" ht="27" customHeight="1">
      <x:c r="C23" s="2" t="str">
        <x:v>Employer payroll burden</x:v>
      </x:c>
      <x:c r="D23" s="11"/>
      <x:c r="E23" s="11"/>
      <x:c r="F23" s="19" t="n">
        <x:v>0.2</x:v>
      </x:c>
      <x:c r="G23" s="19" t="n">
        <x:v>0.2</x:v>
      </x:c>
      <x:c r="H23" s="19" t="n">
        <x:v>0.2</x:v>
      </x:c>
      <x:c r="I23" s="19" t="n">
        <x:v>0.2</x:v>
      </x:c>
      <x:c r="J23" s="19" t="n">
        <x:v>0.2</x:v>
      </x:c>
      <x:c r="K23" s="19" t="n">
        <x:v>0.2</x:v>
      </x:c>
      <x:c r="L23" s="11"/>
      <x:c r="M23" s="11"/>
      <x:c r="N23" s="11"/>
      <x:c r="O23" s="11"/>
      <x:c r="P23" s="11"/>
      <x:c r="Q23" s="11"/>
      <x:c r="R23" s="2"/>
      <x:c r="S23" s="43"/>
    </x:row>
    <x:row r="24" ht="27" customHeight="1">
      <x:c r="C24" s="2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2"/>
      <x:c r="S24" s="43"/>
    </x:row>
    <x:row r="25" ht="27" customHeight="1">
      <x:c r="C25" s="2" t="str">
        <x:v>Opening support FTE</x:v>
      </x:c>
      <x:c r="D25" s="17" t="n">
        <x:v>20</x:v>
      </x:c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2"/>
      <x:c r="S25" s="43"/>
    </x:row>
    <x:row r="26" ht="27" customHeight="1">
      <x:c r="C26" s="2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 t="str">
        <x:v>These are synthetic observations, not company-reported results. They stay fixed when budget or forecast assumptions change.</x:v>
      </x:c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7" customHeight="1">
      <x:c r="C29" s="2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 t="str">
        <x:v>Payroll, SG&amp;A, CapEx and working-capital balances are stored as observations. Future periods are intentionally blank.</x:v>
      </x:c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7" hidden="0" customWidth="1"/>
    <x:col min="5" max="5" width="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3" hidden="0" customWidth="1"/>
    <x:col min="19" max="19" width="72" hidden="0" customWidth="1"/>
  </x:cols>
  <x:sheetData>
    <x:row r="1" ht="20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C2" s="3" t="str">
        <x:v>Checks</x:v>
      </x:c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2"/>
      <x:c r="S2" s="2"/>
    </x:row>
    <x:row r="3" ht="20" customHeight="1">
      <x:c r="C3" s="2" t="str">
        <x:v>2027 planning model (USD). Fictional manufacturing case.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0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0" customHeight="1">
      <x:c r="C5" s="7"/>
      <x:c r="D5" s="9" t="str">
        <x:v>Difference</x:v>
      </x:c>
      <x:c r="E5" s="9"/>
      <x:c r="F5" s="10" t="str">
        <x:v>Status</x:v>
      </x:c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2"/>
      <x:c r="S5" s="2" t="str">
        <x:v>Calculation notes</x:v>
      </x:c>
    </x:row>
    <x:row r="6" ht="27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43"/>
    </x:row>
    <x:row r="7" ht="27" customHeight="1">
      <x:c r="C7" s="2" t="str">
        <x:v>Budget revenue build</x:v>
      </x:c>
      <x:c r="D7" s="40" t="n">
        <x:f>ROUND('Budget'!D10-SUMPRODUCT('Budget'!F8:Q8,'Budget'!F9:Q9),2)</x:f>
        <x:v>0</x:v>
      </x:c>
      <x:c r="E7" s="11"/>
      <x:c r="F7" s="11" t="str">
        <x:f>IF(ABS(D7)&lt;0.01,"OK","Review")</x:f>
        <x:v>OK</x:v>
      </x:c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2"/>
      <x:c r="S7" s="43"/>
    </x:row>
    <x:row r="8" ht="27" customHeight="1">
      <x:c r="C8" s="2" t="str">
        <x:v>Forecast revenue build</x:v>
      </x:c>
      <x:c r="D8" s="40" t="n">
        <x:f>ROUND('Forecast'!D10-SUMPRODUCT('Forecast'!F8:Q8,'Forecast'!F9:Q9),2)</x:f>
        <x:v>0</x:v>
      </x:c>
      <x:c r="E8" s="11"/>
      <x:c r="F8" s="11" t="str">
        <x:f>IF(ABS(D8)&lt;0.01,"OK","Review")</x:f>
        <x:v>OK</x:v>
      </x:c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2"/>
      <x:c r="S8" s="43"/>
    </x:row>
    <x:row r="9" ht="27" customHeight="1">
      <x:c r="C9" s="2" t="str">
        <x:v>Budget EBITDA bridge</x:v>
      </x:c>
      <x:c r="D9" s="40" t="n">
        <x:f>ROUND('Budget'!D27-('Budget'!D10-'Budget'!D16-'Budget'!D21-'Budget'!D25),2)</x:f>
        <x:v>0</x:v>
      </x:c>
      <x:c r="E9" s="11"/>
      <x:c r="F9" s="11" t="str">
        <x:f>IF(ABS(D9)&lt;0.01,"OK","Review")</x:f>
        <x:v>OK</x:v>
      </x:c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2"/>
      <x:c r="S9" s="43"/>
    </x:row>
    <x:row r="10" ht="27" customHeight="1">
      <x:c r="C10" s="2" t="str">
        <x:v>Forecast EBITDA bridge</x:v>
      </x:c>
      <x:c r="D10" s="40" t="n">
        <x:f>ROUND('Forecast'!D27-('Forecast'!D10-'Forecast'!D16-'Forecast'!D21-'Forecast'!D25),2)</x:f>
        <x:v>0</x:v>
      </x:c>
      <x:c r="E10" s="11"/>
      <x:c r="F10" s="11" t="str">
        <x:f>IF(ABS(D10)&lt;0.01,"OK","Review")</x:f>
        <x:v>OK</x:v>
      </x:c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2"/>
      <x:c r="S10" s="43"/>
    </x:row>
    <x:row r="11" ht="27" customHeight="1">
      <x:c r="C11" s="2" t="str">
        <x:v>Budget cash rollforward</x:v>
      </x:c>
      <x:c r="D11" s="40" t="n">
        <x:f>ROUND('Cash flow'!Q15-'Assumptions'!D30-'Cash flow'!D12,2)</x:f>
        <x:v>0</x:v>
      </x:c>
      <x:c r="E11" s="11"/>
      <x:c r="F11" s="11" t="str">
        <x:f>IF(ABS(D11)&lt;0.01,"OK","Review")</x:f>
        <x:v>OK</x:v>
      </x:c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2"/>
      <x:c r="S11" s="43"/>
    </x:row>
    <x:row r="12" ht="27" customHeight="1">
      <x:c r="C12" s="2" t="str">
        <x:v>Forecast cash rollforward</x:v>
      </x:c>
      <x:c r="D12" s="40" t="n">
        <x:f>ROUND('Cash flow'!Q29-'Assumptions'!D30-'Cash flow'!D26,2)</x:f>
        <x:v>0</x:v>
      </x:c>
      <x:c r="E12" s="11"/>
      <x:c r="F12" s="11" t="str">
        <x:f>IF(ABS(D12)&lt;0.01,"OK","Review")</x:f>
        <x:v>OK</x:v>
      </x:c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2"/>
      <x:c r="S12" s="43"/>
    </x:row>
    <x:row r="13" ht="27" customHeight="1">
      <x:c r="C13" s="2" t="str">
        <x:v>Budget NWC rollforward</x:v>
      </x:c>
      <x:c r="D13" s="40" t="n">
        <x:f>ROUND('Working capital'!D20-('Working capital'!Q18-'Assumptions'!D31-'Assumptions'!D32+'Assumptions'!D33),2)</x:f>
        <x:v>0</x:v>
      </x:c>
      <x:c r="E13" s="11"/>
      <x:c r="F13" s="11" t="str">
        <x:f>IF(ABS(D13)&lt;0.01,"OK","Review")</x:f>
        <x:v>OK</x:v>
      </x:c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2"/>
      <x:c r="S13" s="43"/>
    </x:row>
    <x:row r="14" ht="27" customHeight="1">
      <x:c r="C14" s="2" t="str">
        <x:v>Forecast NWC rollforward</x:v>
      </x:c>
      <x:c r="D14" s="40" t="n">
        <x:f>ROUND('Working capital'!D37-('Working capital'!Q35-'Assumptions'!D31-'Assumptions'!D32+'Assumptions'!D33),2)</x:f>
        <x:v>0</x:v>
      </x:c>
      <x:c r="E14" s="11"/>
      <x:c r="F14" s="11" t="str">
        <x:f>IF(ABS(D14)&lt;0.01,"OK","Review")</x:f>
        <x:v>OK</x:v>
      </x:c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2"/>
      <x:c r="S14" s="43"/>
    </x:row>
    <x:row r="15" ht="27" customHeight="1">
      <x:c r="C15" s="2" t="str">
        <x:v>Actual payroll reconciliation</x:v>
      </x:c>
      <x:c r="D15" s="40" t="n">
        <x:f>ROUND(SUM('Headcount'!F31:K31)-SUM('Actuals'!F12:K12),2)</x:f>
        <x:v>0</x:v>
      </x:c>
      <x:c r="E15" s="11"/>
      <x:c r="F15" s="11" t="str">
        <x:f>IF(ABS(D15)&lt;0.01,"OK","Review")</x:f>
        <x:v>OK</x:v>
      </x:c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2"/>
      <x:c r="S15" s="43"/>
    </x:row>
    <x:row r="16" ht="27" customHeight="1">
      <x:c r="C16" s="2" t="str">
        <x:v>YTD EBITDA bridge</x:v>
      </x:c>
      <x:c r="D16" s="40" t="n">
        <x:f>ROUND('Variance'!D26-'Variance'!F13,2)</x:f>
        <x:v>0</x:v>
      </x:c>
      <x:c r="E16" s="11"/>
      <x:c r="F16" s="11" t="str">
        <x:f>IF(ABS(D16)&lt;0.01,"OK","Review")</x:f>
        <x:v>OK</x:v>
      </x:c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2"/>
      <x:c r="S16" s="43"/>
    </x:row>
    <x:row r="17" ht="27" customHeight="1">
      <x:c r="C17" s="2" t="str">
        <x:v>Neutral sensitivity equals budget</x:v>
      </x:c>
      <x:c r="D17" s="40" t="n">
        <x:f>ROUND('Scenario'!F28-'Budget'!D27,2)</x:f>
        <x:v>0</x:v>
      </x:c>
      <x:c r="E17" s="11"/>
      <x:c r="F17" s="11" t="str">
        <x:f>IF(ABS(D17)&lt;0.01,"OK","Review")</x:f>
        <x:v>OK</x:v>
      </x:c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2"/>
      <x:c r="S17" s="43"/>
    </x:row>
    <x:row r="18" ht="27" customHeight="1">
      <x:c r="C18" s="2" t="str">
        <x:v>Scenario EBITDA detail</x:v>
      </x:c>
      <x:c r="D18" s="40" t="n">
        <x:f>ROUND('Scenario'!G19-('Scenario'!G12-SUM('Scenario'!G13:G17)),2)</x:f>
        <x:v>0</x:v>
      </x:c>
      <x:c r="E18" s="11"/>
      <x:c r="F18" s="11" t="str">
        <x:f>IF(ABS(D18)&lt;0.01,"OK","Review")</x:f>
        <x:v>OK</x:v>
      </x:c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2"/>
      <x:c r="S18" s="43"/>
    </x:row>
    <x:row r="19" ht="27" customHeight="1">
      <x:c r="C19" s="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2"/>
      <x:c r="S19" s="43"/>
    </x:row>
    <x:row r="20" ht="27" customHeight="1">
      <x:c r="C20" s="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2"/>
      <x:c r="S20" s="43"/>
    </x:row>
    <x:row r="21" ht="27" customHeight="1">
      <x:c r="C21" s="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2"/>
      <x:c r="S21" s="43"/>
    </x:row>
    <x:row r="22" ht="27" customHeight="1">
      <x:c r="C22" s="2" t="str">
        <x:v>Differences within $0.01 pass. These checks read the model; no operating formula depends on this sheet.</x:v>
      </x:c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2"/>
      <x:c r="S22" s="43"/>
    </x:row>
    <x:row r="23" ht="27" customHeight="1">
      <x:c r="C23" s="2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2"/>
      <x:c r="S23" s="43"/>
    </x:row>
    <x:row r="24" ht="27" customHeight="1">
      <x:c r="C24" s="2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2"/>
      <x:c r="S24" s="43"/>
    </x:row>
    <x:row r="25" ht="27" customHeight="1">
      <x:c r="C25" s="2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2"/>
      <x:c r="S25" s="43"/>
    </x:row>
    <x:row r="26" ht="27" customHeight="1">
      <x:c r="C26" s="2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2"/>
      <x:c r="S26" s="43"/>
    </x:row>
    <x:row r="27" ht="27" customHeight="1">
      <x:c r="C27" s="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2"/>
      <x:c r="S27" s="43"/>
    </x:row>
    <x:row r="28" ht="27" customHeight="1">
      <x:c r="C28" s="2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2"/>
      <x:c r="S28" s="43"/>
    </x:row>
    <x:row r="29" ht="27" customHeight="1">
      <x:c r="C29" s="2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2"/>
      <x:c r="S29" s="43"/>
    </x:row>
    <x:row r="30" ht="27" customHeight="1">
      <x:c r="C30" s="2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2"/>
      <x:c r="S30" s="43"/>
    </x:row>
    <x:row r="31" ht="27" customHeight="1">
      <x:c r="C31" s="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2"/>
      <x:c r="S31" s="43"/>
    </x:row>
    <x:row r="32" ht="27" customHeight="1">
      <x:c r="C32" s="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2"/>
      <x:c r="S32" s="43"/>
    </x:row>
    <x:row r="33" ht="27" customHeight="1">
      <x:c r="C33" s="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2"/>
      <x:c r="S33" s="43"/>
    </x:row>
    <x:row r="34" ht="27" customHeight="1">
      <x:c r="C34" s="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2"/>
      <x:c r="S34" s="43"/>
    </x:row>
    <x:row r="35" ht="27" customHeight="1">
      <x:c r="C35" s="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2"/>
      <x:c r="S35" s="43"/>
    </x:row>
    <x:row r="36" ht="27" customHeight="1">
      <x:c r="C36" s="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2"/>
      <x:c r="S36" s="43"/>
    </x:row>
    <x:row r="37" ht="27" customHeight="1">
      <x:c r="C37" s="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2"/>
      <x:c r="S37" s="43"/>
    </x:row>
    <x:row r="38" ht="27" customHeight="1">
      <x:c r="C38" s="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2"/>
      <x:c r="S38" s="43"/>
    </x:row>
    <x:row r="39" ht="27" customHeight="1">
      <x:c r="C39" s="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2"/>
      <x:c r="S39" s="43"/>
    </x:row>
    <x:row r="40" ht="27" customHeight="1">
      <x:c r="C40" s="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2"/>
      <x:c r="S40" s="43"/>
    </x:row>
    <x:row r="41" ht="27" customHeight="1">
      <x:c r="C41" s="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2"/>
      <x:c r="S41" s="43"/>
    </x:row>
    <x:row r="42" ht="27" customHeight="1">
      <x:c r="C42" s="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2"/>
      <x:c r="S42" s="43"/>
    </x:row>
    <x:row r="43" ht="27" customHeight="1">
      <x:c r="C43" s="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2"/>
      <x:c r="S43" s="43"/>
    </x:row>
    <x:row r="44" ht="27" customHeight="1">
      <x:c r="C44" s="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2"/>
      <x:c r="S44" s="43"/>
    </x:row>
    <x:row r="45" ht="27" customHeight="1">
      <x:c r="C45" s="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2"/>
      <x:c r="S45" s="43"/>
    </x:row>
    <x:row r="46" ht="27" customHeight="1">
      <x:c r="C46" s="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2"/>
      <x:c r="S46" s="43"/>
    </x:row>
    <x:row r="47" ht="27" customHeight="1">
      <x:c r="C47" s="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2"/>
      <x:c r="S47" s="43"/>
    </x:row>
    <x:row r="48" ht="27" customHeight="1">
      <x:c r="C48" s="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2"/>
      <x:c r="S48" s="43"/>
    </x:row>
    <x:row r="49" ht="27" customHeight="1">
      <x:c r="C49" s="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2"/>
      <x:c r="S49" s="43"/>
    </x:row>
    <x:row r="50" ht="27" customHeight="1">
      <x:c r="C50" s="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2"/>
      <x:c r="S50" s="43"/>
    </x:row>
    <x:row r="51" ht="27" customHeight="1">
      <x:c r="C51" s="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2"/>
      <x:c r="S51" s="43"/>
    </x:row>
    <x:row r="52" ht="27" customHeight="1">
      <x:c r="C52" s="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2"/>
      <x:c r="S52" s="43"/>
    </x:row>
    <x:row r="53" ht="27" customHeight="1">
      <x:c r="C53" s="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2"/>
      <x:c r="S53" s="43"/>
    </x:row>
    <x:row r="54" ht="27" customHeight="1">
      <x:c r="C54" s="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2"/>
      <x:c r="S54" s="43"/>
    </x:row>
    <x:row r="55" ht="27" customHeight="1">
      <x:c r="C55" s="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2"/>
      <x:c r="S55" s="43"/>
    </x:row>
    <x:row r="56" ht="27" customHeight="1">
      <x:c r="C56" s="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2"/>
      <x:c r="S56" s="43"/>
    </x:row>
    <x:row r="57" ht="27" customHeight="1">
      <x:c r="C57" s="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2"/>
      <x:c r="S57" s="43"/>
    </x:row>
    <x:row r="58" ht="27" customHeight="1">
      <x:c r="C58" s="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2"/>
      <x:c r="S58" s="43"/>
    </x:row>
    <x:row r="59" ht="27" customHeight="1">
      <x:c r="C59" s="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2"/>
      <x:c r="S59" s="43"/>
    </x:row>
    <x:row r="60" ht="27" customHeight="1">
      <x:c r="C60" s="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2"/>
      <x:c r="S60" s="43"/>
    </x:row>
    <x:row r="61" ht="27" customHeight="1">
      <x:c r="C61" s="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2"/>
      <x:c r="S61" s="43"/>
    </x:row>
    <x:row r="62" ht="27" customHeight="1">
      <x:c r="C62" s="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2"/>
      <x:c r="S62" s="43"/>
    </x:row>
    <x:row r="63" ht="27" customHeight="1">
      <x:c r="C63" s="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2"/>
      <x:c r="S63" s="43"/>
    </x:row>
    <x:row r="64" ht="27" customHeight="1">
      <x:c r="C64" s="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2"/>
      <x:c r="S64" s="43"/>
    </x:row>
    <x:row r="65" ht="27" customHeight="1">
      <x:c r="C65" s="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2"/>
      <x:c r="S65" s="43"/>
    </x:row>
    <x:row r="66" ht="27" customHeight="1">
      <x:c r="C66" s="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2"/>
      <x:c r="S66" s="43"/>
    </x:row>
    <x:row r="67" ht="27" customHeight="1">
      <x:c r="C67" s="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2"/>
      <x:c r="S67" s="43"/>
    </x:row>
    <x:row r="68" ht="27" customHeight="1">
      <x:c r="C68" s="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2"/>
      <x:c r="S68" s="43"/>
    </x:row>
    <x:row r="69" ht="27" customHeight="1">
      <x:c r="C69" s="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2"/>
      <x:c r="S69" s="43"/>
    </x:row>
    <x:row r="70" ht="27" customHeight="1">
      <x:c r="C70" s="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2"/>
      <x:c r="S70" s="43"/>
    </x:row>
    <x:row r="71" ht="27" customHeight="1">
      <x:c r="C71" s="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2"/>
      <x:c r="S71" s="43"/>
    </x:row>
    <x:row r="72" ht="27" customHeight="1">
      <x:c r="C72" s="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2"/>
      <x:c r="S72" s="43"/>
    </x:row>
    <x:row r="73" ht="27" customHeight="1">
      <x:c r="C73" s="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2"/>
      <x:c r="S73" s="43"/>
    </x:row>
    <x:row r="74" ht="27" customHeight="1">
      <x:c r="C74" s="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2"/>
      <x:c r="S74" s="43"/>
    </x:row>
    <x:row r="75" ht="27" customHeight="1">
      <x:c r="C75" s="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2"/>
      <x:c r="S75" s="43"/>
    </x:row>
    <x:row r="76" ht="27" customHeight="1">
      <x:c r="C76" s="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2"/>
      <x:c r="S76" s="43"/>
    </x:row>
    <x:row r="77" ht="27" customHeight="1">
      <x:c r="C77" s="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2"/>
      <x:c r="S77" s="43"/>
    </x:row>
    <x:row r="78" ht="27" customHeight="1">
      <x:c r="C78" s="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2"/>
      <x:c r="S78" s="43"/>
    </x:row>
    <x:row r="79" ht="27" customHeight="1">
      <x:c r="C79" s="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2"/>
      <x:c r="S79" s="43"/>
    </x:row>
    <x:row r="80" ht="27" customHeight="1">
      <x:c r="C80" s="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2"/>
      <x:c r="S80" s="43"/>
    </x:row>
    <x:row r="81" ht="27" customHeight="1">
      <x:c r="C81" s="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2"/>
      <x:c r="S81" s="43"/>
    </x:row>
    <x:row r="82" ht="27" customHeight="1">
      <x:c r="C82" s="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2"/>
      <x:c r="S82" s="43"/>
    </x:row>
    <x:row r="83" ht="27" customHeight="1">
      <x:c r="C83" s="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2"/>
      <x:c r="S83" s="43"/>
    </x:row>
    <x:row r="84" ht="27" customHeight="1">
      <x:c r="C84" s="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2"/>
      <x:c r="S84" s="43"/>
    </x:row>
    <x:row r="85" ht="27" customHeight="1">
      <x:c r="C85" s="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2"/>
      <x:c r="S85" s="43"/>
    </x:row>
    <x:row r="86" ht="27" customHeight="1">
      <x:c r="C86" s="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2"/>
      <x:c r="S86" s="43"/>
    </x:row>
    <x:row r="87" ht="27" customHeight="1">
      <x:c r="C87" s="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2"/>
      <x:c r="S87" s="43"/>
    </x:row>
    <x:row r="88" ht="27" customHeight="1">
      <x:c r="C88" s="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2"/>
      <x:c r="S88" s="43"/>
    </x:row>
    <x:row r="89" ht="27" customHeight="1">
      <x:c r="C89" s="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2"/>
      <x:c r="S89" s="43"/>
    </x:row>
    <x:row r="90" ht="27" customHeight="1">
      <x:c r="C90" s="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2"/>
      <x:c r="S90" s="43"/>
    </x:row>
  </x:sheetData>
  <x:conditionalFormatting sqref="D7:D18">
    <x:cfRule type="expression" dxfId="2" priority="1">
      <x:formula>ABS(D7)&gt;=0.01</x:formula>
    </x:cfRule>
  </x:conditionalFormatting>
  <x:pageMargins left="0.7" right="0.7" top="0.75" bottom="0.75" header="0.3" footer="0.3"/>
</x:worksheet>
</file>